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40" yWindow="60" windowWidth="15825" windowHeight="11625" activeTab="1"/>
  </bookViews>
  <sheets>
    <sheet name="I.ütem szakaszai" sheetId="2" r:id="rId1"/>
    <sheet name="I.ütem költségvetés" sheetId="3" r:id="rId2"/>
  </sheets>
  <definedNames>
    <definedName name="_xlnm.Print_Area" localSheetId="1">'I.ütem költségvetés'!$A$1:$I$63</definedName>
    <definedName name="_xlnm.Print_Area" localSheetId="0">'I.ütem szakaszai'!$A$1:$AA$66</definedName>
  </definedNames>
  <calcPr calcId="145621"/>
</workbook>
</file>

<file path=xl/calcChain.xml><?xml version="1.0" encoding="utf-8"?>
<calcChain xmlns="http://schemas.openxmlformats.org/spreadsheetml/2006/main">
  <c r="G32" i="3" l="1"/>
  <c r="G33" i="3" s="1"/>
  <c r="G13" i="3"/>
  <c r="G8" i="3"/>
  <c r="H7" i="3"/>
  <c r="H8" i="3" s="1"/>
  <c r="G7" i="3"/>
  <c r="G17" i="3"/>
  <c r="H53" i="3" l="1"/>
  <c r="G53" i="3"/>
  <c r="H52" i="3"/>
  <c r="G52" i="3"/>
  <c r="H51" i="3"/>
  <c r="G51" i="3"/>
  <c r="H50" i="3"/>
  <c r="G50" i="3"/>
  <c r="H49" i="3"/>
  <c r="G49" i="3"/>
  <c r="H48" i="3"/>
  <c r="G48" i="3"/>
  <c r="W20" i="2" l="1"/>
  <c r="X20" i="2"/>
  <c r="Y20" i="2"/>
  <c r="AA20" i="2"/>
  <c r="V38" i="2" l="1"/>
  <c r="AB18" i="2" l="1"/>
  <c r="AB17" i="2"/>
  <c r="AB15" i="2"/>
  <c r="AB16" i="2"/>
  <c r="AB14" i="2"/>
  <c r="AB12" i="2"/>
  <c r="AB7" i="2"/>
  <c r="AB4" i="2"/>
  <c r="M25" i="2"/>
  <c r="N25" i="2"/>
  <c r="O25" i="2"/>
  <c r="P25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D30" i="2"/>
  <c r="F30" i="2"/>
  <c r="H30" i="2"/>
  <c r="V30" i="2"/>
  <c r="V31" i="2"/>
  <c r="Z20" i="2" s="1"/>
  <c r="V29" i="2"/>
  <c r="D45" i="2"/>
  <c r="Q31" i="2"/>
  <c r="Q29" i="2"/>
  <c r="K29" i="2"/>
  <c r="Q30" i="2"/>
  <c r="D44" i="2"/>
  <c r="Q36" i="2"/>
  <c r="AB21" i="2" l="1"/>
  <c r="C15" i="3" s="1"/>
  <c r="V21" i="2"/>
  <c r="C24" i="3" s="1"/>
  <c r="K36" i="2"/>
  <c r="U20" i="2" s="1"/>
  <c r="K31" i="2"/>
  <c r="O31" i="2" s="1"/>
  <c r="K30" i="2"/>
  <c r="O30" i="2" s="1"/>
  <c r="G47" i="3"/>
  <c r="H47" i="3"/>
  <c r="C38" i="3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3" i="2"/>
  <c r="Z21" i="2"/>
  <c r="AC21" i="2"/>
  <c r="AD21" i="2"/>
  <c r="I50" i="2"/>
  <c r="I45" i="2"/>
  <c r="K44" i="2"/>
  <c r="H44" i="2"/>
  <c r="F44" i="2"/>
  <c r="I43" i="2"/>
  <c r="I44" i="2" s="1"/>
  <c r="D43" i="2"/>
  <c r="T19" i="2" s="1"/>
  <c r="O33" i="2"/>
  <c r="O32" i="2"/>
  <c r="P31" i="2"/>
  <c r="P30" i="2"/>
  <c r="P29" i="2"/>
  <c r="O29" i="2"/>
  <c r="J29" i="2"/>
  <c r="T20" i="2" l="1"/>
  <c r="W21" i="2"/>
  <c r="C25" i="3" s="1"/>
  <c r="C28" i="3" s="1"/>
  <c r="G28" i="3" s="1"/>
  <c r="P36" i="2"/>
  <c r="T17" i="2"/>
  <c r="T13" i="2"/>
  <c r="T10" i="2"/>
  <c r="AA21" i="2"/>
  <c r="C32" i="3" s="1"/>
  <c r="H32" i="3" s="1"/>
  <c r="H33" i="3" s="1"/>
  <c r="D50" i="2"/>
  <c r="T3" i="2"/>
  <c r="T12" i="2"/>
  <c r="U18" i="2"/>
  <c r="U14" i="2"/>
  <c r="U12" i="2"/>
  <c r="U10" i="2"/>
  <c r="U6" i="2"/>
  <c r="U9" i="2"/>
  <c r="U16" i="2"/>
  <c r="U13" i="2"/>
  <c r="U8" i="2"/>
  <c r="U17" i="2"/>
  <c r="U5" i="2"/>
  <c r="U19" i="2"/>
  <c r="U15" i="2"/>
  <c r="U7" i="2"/>
  <c r="U4" i="2"/>
  <c r="U11" i="2"/>
  <c r="U3" i="2"/>
  <c r="T16" i="2"/>
  <c r="T7" i="2"/>
  <c r="T4" i="2"/>
  <c r="T18" i="2"/>
  <c r="T6" i="2"/>
  <c r="T11" i="2"/>
  <c r="T15" i="2"/>
  <c r="T9" i="2"/>
  <c r="T5" i="2"/>
  <c r="T14" i="2"/>
  <c r="T8" i="2"/>
  <c r="X21" i="2"/>
  <c r="G37" i="3" s="1"/>
  <c r="Y21" i="2"/>
  <c r="C23" i="3" s="1"/>
  <c r="H23" i="3" s="1"/>
  <c r="O34" i="2"/>
  <c r="H43" i="3"/>
  <c r="G38" i="3"/>
  <c r="G24" i="3"/>
  <c r="H24" i="3"/>
  <c r="H18" i="3"/>
  <c r="H15" i="3"/>
  <c r="H17" i="3"/>
  <c r="H13" i="3"/>
  <c r="H12" i="3"/>
  <c r="H11" i="3"/>
  <c r="H3" i="3"/>
  <c r="H4" i="3" s="1"/>
  <c r="G25" i="3" l="1"/>
  <c r="H25" i="3"/>
  <c r="T21" i="2"/>
  <c r="C22" i="3" s="1"/>
  <c r="H22" i="3" s="1"/>
  <c r="U21" i="2"/>
  <c r="C26" i="3" s="1"/>
  <c r="H26" i="3" s="1"/>
  <c r="H37" i="3"/>
  <c r="H14" i="3"/>
  <c r="G15" i="3"/>
  <c r="G19" i="3" s="1"/>
  <c r="G39" i="3"/>
  <c r="H28" i="3"/>
  <c r="H38" i="3"/>
  <c r="G43" i="3"/>
  <c r="H39" i="3" l="1"/>
  <c r="T25" i="2"/>
  <c r="C16" i="3" s="1"/>
  <c r="H16" i="3" s="1"/>
  <c r="H19" i="3" s="1"/>
  <c r="G26" i="3"/>
  <c r="C27" i="3"/>
  <c r="G27" i="3" l="1"/>
  <c r="G29" i="3" s="1"/>
  <c r="H27" i="3"/>
  <c r="H29" i="3" s="1"/>
  <c r="L21" i="2"/>
  <c r="K21" i="2"/>
  <c r="J21" i="2"/>
  <c r="H21" i="2"/>
  <c r="G21" i="2"/>
  <c r="F21" i="2"/>
  <c r="E21" i="2"/>
  <c r="C46" i="3" s="1"/>
  <c r="D21" i="2"/>
  <c r="C56" i="3" l="1"/>
  <c r="G44" i="3"/>
  <c r="H44" i="3"/>
  <c r="C57" i="3"/>
  <c r="G46" i="3"/>
  <c r="H46" i="3"/>
  <c r="G45" i="3"/>
  <c r="H45" i="3"/>
  <c r="G54" i="3" l="1"/>
  <c r="H54" i="3"/>
  <c r="G57" i="3"/>
  <c r="H57" i="3"/>
  <c r="G56" i="3"/>
  <c r="H56" i="3"/>
  <c r="G55" i="3"/>
  <c r="H55" i="3"/>
  <c r="G58" i="3" l="1"/>
  <c r="G61" i="3" s="1"/>
  <c r="H58" i="3"/>
  <c r="H61" i="3" s="1"/>
  <c r="G62" i="3" l="1"/>
  <c r="G63" i="3" s="1"/>
</calcChain>
</file>

<file path=xl/sharedStrings.xml><?xml version="1.0" encoding="utf-8"?>
<sst xmlns="http://schemas.openxmlformats.org/spreadsheetml/2006/main" count="250" uniqueCount="170">
  <si>
    <t>kv 60/200</t>
  </si>
  <si>
    <t>kv 40/200</t>
  </si>
  <si>
    <t>kv 30/200</t>
  </si>
  <si>
    <t xml:space="preserve"> </t>
  </si>
  <si>
    <t>Csatorna</t>
  </si>
  <si>
    <t xml:space="preserve">Érintett </t>
  </si>
  <si>
    <t>Összes</t>
  </si>
  <si>
    <t>Mederelem  (fm)</t>
  </si>
  <si>
    <t>Beton átereszek (fm)</t>
  </si>
  <si>
    <t>Terméskő</t>
  </si>
  <si>
    <t>jele</t>
  </si>
  <si>
    <t>ingatlan</t>
  </si>
  <si>
    <t>hossz (fm)</t>
  </si>
  <si>
    <t>30/200</t>
  </si>
  <si>
    <t>40/200</t>
  </si>
  <si>
    <t>60/200</t>
  </si>
  <si>
    <t xml:space="preserve">Ø30 </t>
  </si>
  <si>
    <t xml:space="preserve">Ø40 </t>
  </si>
  <si>
    <t xml:space="preserve">Ø60 </t>
  </si>
  <si>
    <t>burk. (fm)</t>
  </si>
  <si>
    <t>CS-1-0-0</t>
  </si>
  <si>
    <t>110, 05/2</t>
  </si>
  <si>
    <t>CS-2-0-0</t>
  </si>
  <si>
    <t>15/1,</t>
  </si>
  <si>
    <t>CS-3-0-0</t>
  </si>
  <si>
    <t>65,57/2,</t>
  </si>
  <si>
    <t>57/2,</t>
  </si>
  <si>
    <t>CS-4-0-0</t>
  </si>
  <si>
    <t>168,300,132/1</t>
  </si>
  <si>
    <t>132/1,</t>
  </si>
  <si>
    <t>CS-5-0-0</t>
  </si>
  <si>
    <t>CS-6-0-0</t>
  </si>
  <si>
    <t>102/1,</t>
  </si>
  <si>
    <t>CS-7-0-0</t>
  </si>
  <si>
    <t>CS-8-0-0</t>
  </si>
  <si>
    <t>CS-9-0-0</t>
  </si>
  <si>
    <t>132/2,</t>
  </si>
  <si>
    <t>CS-10-0-0</t>
  </si>
  <si>
    <t>Patakmeder</t>
  </si>
  <si>
    <t>Összesen:</t>
  </si>
  <si>
    <t>Felvonulási létesítmények</t>
  </si>
  <si>
    <t>egység ár</t>
  </si>
  <si>
    <t>ár összesen</t>
  </si>
  <si>
    <t>Tételszám</t>
  </si>
  <si>
    <t>Tételszöveg</t>
  </si>
  <si>
    <t>Menny.</t>
  </si>
  <si>
    <t>Egys.</t>
  </si>
  <si>
    <t>anyag</t>
  </si>
  <si>
    <t>díj</t>
  </si>
  <si>
    <t>12-002-00000000</t>
  </si>
  <si>
    <t>Közúti forgalomra acélpalló terítés, 5 t terhelésre</t>
  </si>
  <si>
    <t>m2</t>
  </si>
  <si>
    <t>Költségtérítések</t>
  </si>
  <si>
    <t>K19-010-1.11.4</t>
  </si>
  <si>
    <t>Szakfelügyelet</t>
  </si>
  <si>
    <t>nap</t>
  </si>
  <si>
    <t>K19-010-1.11.5</t>
  </si>
  <si>
    <t>Közműkiváltások</t>
  </si>
  <si>
    <t>klt</t>
  </si>
  <si>
    <t>fm</t>
  </si>
  <si>
    <t>Meglévő-megmaradó terméskő burkolat helyreállítása</t>
  </si>
  <si>
    <t>Meglévő kapubejárók elbontása</t>
  </si>
  <si>
    <t>m3</t>
  </si>
  <si>
    <t>Aszfalt burkolatú út helyreállítása</t>
  </si>
  <si>
    <t>K19-021-2.1-9999910</t>
  </si>
  <si>
    <t>Kiszoruló föld elszállítása 15 km belül</t>
  </si>
  <si>
    <t>Megvalósulási tervdokumentáció készítése</t>
  </si>
  <si>
    <t>Irtás-, föld- és sziklamunka</t>
  </si>
  <si>
    <t>21-003-006.1.1</t>
  </si>
  <si>
    <t>21-004-005.1.1.1</t>
  </si>
  <si>
    <t>Tükörkészítés tömörítés nélkül, sík felületen gépi erővel, kiegészítő kézi munkával talajosztály: I-IV.</t>
  </si>
  <si>
    <t>21-004-004.1.2-0120701</t>
  </si>
  <si>
    <t>Talajjavító réteg készítése vonalas létesítményeknél, 3,00 m szélességig vagy építményen belül, osztályozatlan kavicsból Természetes szemmegoszlású kavics, THK  0/32 O-TT, Nyékládháza [vagy ezzel műszakilag egyenértékű]</t>
  </si>
  <si>
    <t>Talajjavító réteg készítése vonalas létesítményeknél, 3,00 m szélességig vagy építményen belül, osztályozatlan kavicsból Természetes szemmegoszlású kavics, THK  0/32 O-TT, Nyékládháza [vagy ezzel műszakilag egyenértékű] (kapubejárókban)</t>
  </si>
  <si>
    <t>21-003-011.1.1</t>
  </si>
  <si>
    <t>Földvisszatöltés munkagödörbe vagy munkaárokba, tömörítés nélkül, réteges elterítéssel, I-IV. osztályú talajban, kézi erővel, az anyag súlypontja karoláson belül, a vezeték (műtárgy) felett és mellett 50 cm vastagságig</t>
  </si>
  <si>
    <t>21-008-002.2.3</t>
  </si>
  <si>
    <t>Tömörítés bármely tömörítési osztályban gépi erővel, vezeték felett és mellett, tömörségi fok: 95%</t>
  </si>
  <si>
    <t>21-008-002.3.1</t>
  </si>
  <si>
    <t>Tömörítés bármely tömörítési osztályban gépi erővel, vezeték felett és mellett, tömörségi fok: 85% (kapubejárókban)</t>
  </si>
  <si>
    <t>Síkalapozás</t>
  </si>
  <si>
    <t>23-003-011.2-0112210</t>
  </si>
  <si>
    <t>Szerelőbeton készítése, .....minőségű betonból 10 cm vastagságig C12/15 - X0b(H) képlékeny kavicsbeton keverék CEM 32,5 pc. D↓max = 16 mm, m = 6,5 finomsági modulussal [vagy ezzel műszakilag egyenértékű]</t>
  </si>
  <si>
    <t>Helyszíni beton és vasbeton munkák</t>
  </si>
  <si>
    <t>Összesen</t>
  </si>
  <si>
    <t xml:space="preserve">31-021-004.1.2- </t>
  </si>
  <si>
    <t>Sík vagy alulbordás vasbeton lemez készítése, 15°-os hajlásszögig, X0v(H), XC1, XC2, XC3 környezeti osztályú, kissé képlékeny vagy képlékeny konzisztenciájú betonból, kézi erővel, vibrátoros tömörítéssel, 12 cm vastagság felett C12-32/FN - földnedves kavicsbeton keverék CEM 52,5 pc. D↓max = 32 mm, m = 6,3 finomsági modulussal [vagy ezzel műszakilag egyenértékű] (kapubejárókban)</t>
  </si>
  <si>
    <t>31-001-002-0452104</t>
  </si>
  <si>
    <t>Hegesztett betonacél háló szerelése tartószerkezetbe FERALPI 10K2020 építési síkháló; 5,00 x 2,15 m; 200 x 200 mm osztással Ø 10,0 / 10,0 BHB55.50 [vagy ezzel műszakilag egyenértékű] (kapubejárókban)</t>
  </si>
  <si>
    <t>t</t>
  </si>
  <si>
    <t>Közmű csatornaépítés</t>
  </si>
  <si>
    <t xml:space="preserve">53-101-001.1.1.1- </t>
  </si>
  <si>
    <t>Betonba rakott terméskőburkolat építése vízépítési terméskőből, a beépítés súlyponti távolsága: 30 m Vízépítési terméskő TA-TB 25-100 kg-ig, Basalt-Középkő, Tardos [vagy ezzel műszakilag egyenértékű]</t>
  </si>
  <si>
    <t xml:space="preserve">53-051-001.1- </t>
  </si>
  <si>
    <t>m</t>
  </si>
  <si>
    <t>53-</t>
  </si>
  <si>
    <t>Előregyártott támfal elem elhelyezése kapubejárókhoz, d300 betoncsőhöz</t>
  </si>
  <si>
    <t>db</t>
  </si>
  <si>
    <t>Előregyártott támfal elem elhelyezése kapubejárókhoz, d400 betoncsőhöz</t>
  </si>
  <si>
    <t xml:space="preserve">53-001-001.2.2.5- </t>
  </si>
  <si>
    <t>Körszelvényű,hengeres betoncső 1,00 m hosszú előregyártott betoncsövekből, belső csőátmérő: 30 cm</t>
  </si>
  <si>
    <t>Körszelvényű,hengeres betoncső 1,00 m hosszú előregyártott betoncsövekből, belső csőátmérő: 40 cm</t>
  </si>
  <si>
    <t>nettó összesen:</t>
  </si>
  <si>
    <t>bruttó összesen:</t>
  </si>
  <si>
    <t>kv40/40</t>
  </si>
  <si>
    <t>földárok</t>
  </si>
  <si>
    <t>kapu bejáró d300</t>
  </si>
  <si>
    <t>5 m*4 m</t>
  </si>
  <si>
    <t>a</t>
  </si>
  <si>
    <t>d</t>
  </si>
  <si>
    <t>kapu bejáró d400</t>
  </si>
  <si>
    <t>terméskő burkolat 1:1,5</t>
  </si>
  <si>
    <t>földkiemelés</t>
  </si>
  <si>
    <t>m3/fm</t>
  </si>
  <si>
    <t>m3/db</t>
  </si>
  <si>
    <t>homok ágy</t>
  </si>
  <si>
    <t>beton ágy</t>
  </si>
  <si>
    <t xml:space="preserve">áteresz </t>
  </si>
  <si>
    <t>támfal</t>
  </si>
  <si>
    <t>támasztó tuskó</t>
  </si>
  <si>
    <t>járdalap</t>
  </si>
  <si>
    <t>visszatöltés</t>
  </si>
  <si>
    <t>szerelő beton</t>
  </si>
  <si>
    <t>d600</t>
  </si>
  <si>
    <t>d500</t>
  </si>
  <si>
    <t>kv70/200</t>
  </si>
  <si>
    <t>fm/m 3</t>
  </si>
  <si>
    <t>föld visszatöltés (m3)</t>
  </si>
  <si>
    <t>betonágyazat készítése (m3) KAPUBEJÁRÓ</t>
  </si>
  <si>
    <t>föld kiemelés (m3)</t>
  </si>
  <si>
    <t>tükör készítés (m2)</t>
  </si>
  <si>
    <t>terméskőburkolat (m3)</t>
  </si>
  <si>
    <t>kavicságyazat készítés (m3) kapubejáróba</t>
  </si>
  <si>
    <t>szerelőbeton m3</t>
  </si>
  <si>
    <t>kavicságyazat készítés (m3) vonalas</t>
  </si>
  <si>
    <t>kapubejáró</t>
  </si>
  <si>
    <t>kiszoruló föld</t>
  </si>
  <si>
    <t>aszfal bontás</t>
  </si>
  <si>
    <t>száraz burkolás</t>
  </si>
  <si>
    <t>szárazkő</t>
  </si>
  <si>
    <t>20/200</t>
  </si>
  <si>
    <t>(fm)</t>
  </si>
  <si>
    <t>CS-3-1-0</t>
  </si>
  <si>
    <t>CS-3-2-0</t>
  </si>
  <si>
    <t>Rácsos fedlap</t>
  </si>
  <si>
    <t>CS-3-3-0</t>
  </si>
  <si>
    <t>CS-6-1-0</t>
  </si>
  <si>
    <t>CS-8-1-0</t>
  </si>
  <si>
    <t>CS-9-1-0</t>
  </si>
  <si>
    <t>CS-10-1-0</t>
  </si>
  <si>
    <t>kv 20*200</t>
  </si>
  <si>
    <t xml:space="preserve">Előregyártott beton árok- és mederburkoló elem elhelyezése csaphornyos illesztéssel, földmunka nélkül, KV 30/200 mederburkoló elem, [vagy ezzel műszakilag egyenértékű] </t>
  </si>
  <si>
    <t xml:space="preserve">Előregyártott beton árok- és mederburkoló elem elhelyezése csaphornyos illesztéssel, földmunka nélkül, KV 40/200 mederburkoló elem, [vagy ezzel műszakilag egyenértékű] </t>
  </si>
  <si>
    <t xml:space="preserve">Előregyártott beton árok- és mederburkoló elem elhelyezése csaphornyos illesztéssel, földmunka nélkül, KV 20/200 mederburkoló elem, [vagy ezzel műszakilag egyenértékű] </t>
  </si>
  <si>
    <t>Előregyártott KV 20 vízbeeresztős fedlap elhelyezése</t>
  </si>
  <si>
    <t xml:space="preserve">Előregyártott vasbeton árok- és mederburkoló elem
elhelyezése csaphornyos illesztéssel, földmunka nélkül, fedlap elhelyezése 20-30 cm átmérő között
12 cm vastag, 1,0 m hosszú
KV 30 fedlap </t>
  </si>
  <si>
    <t>53-051-0646422 (MVH)</t>
  </si>
  <si>
    <t xml:space="preserve">Előregyártott vasbeton árok- és mederburkoló elem
elhelyezése csaphornyos illesztéssel, földmunka nélkül, fedlap elhelyezése 20-30 cm átmérő között
12 cm vastag, 1,0 m hosszú
KV 20 fedlap </t>
  </si>
  <si>
    <t xml:space="preserve">Előregyártott vasbeton árok- és mederburkoló elem
elhelyezése csaphornyos illesztéssel, földmunka nélkül, fedlap elhelyezése 40-60 cm átmérő között
12 cm vastag, 1,0 m hosszú
KV 40 fedlap </t>
  </si>
  <si>
    <t>53-005-0614092 (MVH)</t>
  </si>
  <si>
    <t>Beton aknaszűkítő elhelyezése, csaphornyos, cementhabarcsos illesztéssel,</t>
  </si>
  <si>
    <t>53-005-0615046 (MVH)</t>
  </si>
  <si>
    <t>Kör alakú öntöttvas aknafedlap és fedlapkeret elhelyezése,cementhabarcs rögzítéssel,</t>
  </si>
  <si>
    <t>53-007-0618144 (MVH)</t>
  </si>
  <si>
    <t>Aknaépítés előregyártott elemekből Beton akna-fenékelem elhelyezése, belső csőátmérő: 100 cm,75 cm magasságig</t>
  </si>
  <si>
    <t>Munkaárok földkiemelése közművesített területen, gépi erővel, kiegészítő kézi munkával, bármely konzisztenciájú, I-IV. oszt. talajban, dúcolás nélkül, 3,0 m² szelvényig</t>
  </si>
  <si>
    <t>Aszfalt és beton törmelék konténeres elszállítása (konténerbe rakással) kijelölt lerakóra, lerakóhelyi díjjal együtt 15 km belül</t>
  </si>
  <si>
    <t>Dúcolás, Földpartmegtámasztás</t>
  </si>
  <si>
    <t>13-001-1.1.1.2</t>
  </si>
  <si>
    <t xml:space="preserve">Munkaárok dúcolása és bontása 5,00 m mélységig, 5,00 szélességig, kétoldali dúcolással, vízszintes pallózással 00,8-2,0 m árokszélességg között, zártsorú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</si>
</sst>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1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b/>
      <sz val="12"/>
      <color indexed="8"/>
      <name val="Calibri"/>
      <family val="2"/>
      <charset val="238"/>
    </font>
    <font>
      <b/>
      <sz val="10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1" xfId="0" applyFont="1" applyBorder="1"/>
    <xf numFmtId="0" fontId="3" fillId="0" borderId="22" xfId="0" applyFont="1" applyFill="1" applyBorder="1"/>
    <xf numFmtId="0" fontId="7" fillId="2" borderId="11" xfId="0" applyFont="1" applyFill="1" applyBorder="1" applyAlignment="1"/>
    <xf numFmtId="0" fontId="5" fillId="4" borderId="23" xfId="0" applyFont="1" applyFill="1" applyBorder="1" applyAlignment="1"/>
    <xf numFmtId="0" fontId="5" fillId="0" borderId="24" xfId="0" applyFont="1" applyBorder="1"/>
    <xf numFmtId="0" fontId="5" fillId="3" borderId="24" xfId="0" applyFont="1" applyFill="1" applyBorder="1"/>
    <xf numFmtId="0" fontId="8" fillId="0" borderId="24" xfId="0" applyFont="1" applyBorder="1"/>
    <xf numFmtId="0" fontId="0" fillId="0" borderId="25" xfId="0" applyBorder="1" applyAlignment="1">
      <alignment horizontal="right"/>
    </xf>
    <xf numFmtId="0" fontId="0" fillId="0" borderId="24" xfId="0" applyBorder="1"/>
    <xf numFmtId="0" fontId="3" fillId="0" borderId="5" xfId="0" applyFont="1" applyFill="1" applyBorder="1"/>
    <xf numFmtId="0" fontId="7" fillId="2" borderId="4" xfId="0" applyFont="1" applyFill="1" applyBorder="1" applyAlignment="1"/>
    <xf numFmtId="0" fontId="5" fillId="4" borderId="27" xfId="0" applyFont="1" applyFill="1" applyBorder="1" applyAlignment="1"/>
    <xf numFmtId="0" fontId="5" fillId="0" borderId="13" xfId="0" applyFont="1" applyBorder="1"/>
    <xf numFmtId="0" fontId="5" fillId="3" borderId="13" xfId="0" applyFont="1" applyFill="1" applyBorder="1"/>
    <xf numFmtId="0" fontId="8" fillId="0" borderId="13" xfId="0" applyFont="1" applyBorder="1"/>
    <xf numFmtId="0" fontId="0" fillId="0" borderId="28" xfId="0" applyBorder="1" applyAlignment="1">
      <alignment horizontal="right"/>
    </xf>
    <xf numFmtId="0" fontId="0" fillId="0" borderId="13" xfId="0" applyBorder="1"/>
    <xf numFmtId="0" fontId="9" fillId="0" borderId="1" xfId="0" applyFont="1" applyBorder="1"/>
    <xf numFmtId="0" fontId="10" fillId="2" borderId="4" xfId="0" applyFont="1" applyFill="1" applyBorder="1" applyAlignment="1"/>
    <xf numFmtId="0" fontId="9" fillId="4" borderId="27" xfId="0" applyFont="1" applyFill="1" applyBorder="1" applyAlignment="1"/>
    <xf numFmtId="0" fontId="9" fillId="0" borderId="13" xfId="0" applyFont="1" applyBorder="1"/>
    <xf numFmtId="0" fontId="9" fillId="3" borderId="13" xfId="0" applyFont="1" applyFill="1" applyBorder="1"/>
    <xf numFmtId="0" fontId="6" fillId="0" borderId="13" xfId="0" applyFont="1" applyBorder="1"/>
    <xf numFmtId="0" fontId="11" fillId="0" borderId="28" xfId="0" applyFont="1" applyBorder="1" applyAlignment="1">
      <alignment horizontal="right"/>
    </xf>
    <xf numFmtId="0" fontId="11" fillId="0" borderId="13" xfId="0" applyFont="1" applyBorder="1"/>
    <xf numFmtId="0" fontId="12" fillId="0" borderId="28" xfId="0" applyFont="1" applyBorder="1" applyAlignment="1">
      <alignment horizontal="right"/>
    </xf>
    <xf numFmtId="0" fontId="12" fillId="0" borderId="13" xfId="0" applyFont="1" applyBorder="1"/>
    <xf numFmtId="0" fontId="5" fillId="0" borderId="0" xfId="0" applyFont="1" applyBorder="1"/>
    <xf numFmtId="0" fontId="3" fillId="0" borderId="29" xfId="0" applyFont="1" applyFill="1" applyBorder="1"/>
    <xf numFmtId="0" fontId="7" fillId="2" borderId="30" xfId="0" applyFont="1" applyFill="1" applyBorder="1" applyAlignment="1"/>
    <xf numFmtId="0" fontId="0" fillId="0" borderId="31" xfId="0" applyBorder="1"/>
    <xf numFmtId="0" fontId="9" fillId="0" borderId="0" xfId="0" applyFont="1" applyBorder="1"/>
    <xf numFmtId="0" fontId="10" fillId="2" borderId="30" xfId="0" applyFont="1" applyFill="1" applyBorder="1" applyAlignment="1"/>
    <xf numFmtId="0" fontId="11" fillId="0" borderId="31" xfId="0" applyFont="1" applyBorder="1"/>
    <xf numFmtId="0" fontId="5" fillId="4" borderId="32" xfId="0" applyFont="1" applyFill="1" applyBorder="1" applyAlignment="1"/>
    <xf numFmtId="0" fontId="5" fillId="0" borderId="33" xfId="0" applyFont="1" applyBorder="1"/>
    <xf numFmtId="0" fontId="5" fillId="3" borderId="33" xfId="0" applyFont="1" applyFill="1" applyBorder="1"/>
    <xf numFmtId="0" fontId="8" fillId="0" borderId="33" xfId="0" applyFont="1" applyBorder="1"/>
    <xf numFmtId="0" fontId="0" fillId="0" borderId="34" xfId="0" applyBorder="1" applyAlignment="1">
      <alignment horizontal="right"/>
    </xf>
    <xf numFmtId="0" fontId="13" fillId="5" borderId="35" xfId="0" applyFont="1" applyFill="1" applyBorder="1"/>
    <xf numFmtId="0" fontId="13" fillId="5" borderId="36" xfId="0" applyFont="1" applyFill="1" applyBorder="1"/>
    <xf numFmtId="0" fontId="13" fillId="5" borderId="37" xfId="0" applyFont="1" applyFill="1" applyBorder="1"/>
    <xf numFmtId="0" fontId="13" fillId="5" borderId="38" xfId="0" applyFont="1" applyFill="1" applyBorder="1" applyAlignment="1"/>
    <xf numFmtId="0" fontId="13" fillId="5" borderId="19" xfId="0" applyFont="1" applyFill="1" applyBorder="1" applyAlignment="1"/>
    <xf numFmtId="0" fontId="13" fillId="5" borderId="20" xfId="0" applyFont="1" applyFill="1" applyBorder="1"/>
    <xf numFmtId="0" fontId="13" fillId="5" borderId="15" xfId="0" applyFont="1" applyFill="1" applyBorder="1"/>
    <xf numFmtId="0" fontId="13" fillId="5" borderId="19" xfId="0" applyFont="1" applyFill="1" applyBorder="1"/>
    <xf numFmtId="0" fontId="13" fillId="5" borderId="14" xfId="0" applyFont="1" applyFill="1" applyBorder="1"/>
    <xf numFmtId="0" fontId="14" fillId="5" borderId="38" xfId="0" applyFont="1" applyFill="1" applyBorder="1" applyAlignment="1">
      <alignment horizontal="right"/>
    </xf>
    <xf numFmtId="0" fontId="14" fillId="5" borderId="36" xfId="0" applyFont="1" applyFill="1" applyBorder="1"/>
    <xf numFmtId="0" fontId="0" fillId="0" borderId="0" xfId="0" applyBorder="1"/>
    <xf numFmtId="0" fontId="0" fillId="0" borderId="0" xfId="0" applyFill="1" applyBorder="1"/>
    <xf numFmtId="0" fontId="0" fillId="2" borderId="41" xfId="0" applyFill="1" applyBorder="1"/>
    <xf numFmtId="0" fontId="0" fillId="4" borderId="41" xfId="0" applyFill="1" applyBorder="1"/>
    <xf numFmtId="0" fontId="0" fillId="0" borderId="41" xfId="0" applyBorder="1"/>
    <xf numFmtId="0" fontId="0" fillId="6" borderId="42" xfId="0" applyFill="1" applyBorder="1"/>
    <xf numFmtId="0" fontId="0" fillId="6" borderId="0" xfId="0" applyFill="1" applyBorder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6" fillId="0" borderId="13" xfId="0" applyNumberFormat="1" applyFont="1" applyFill="1" applyBorder="1" applyAlignment="1">
      <alignment vertical="center" wrapText="1"/>
    </xf>
    <xf numFmtId="3" fontId="15" fillId="0" borderId="0" xfId="0" applyNumberFormat="1" applyFont="1" applyFill="1" applyAlignment="1">
      <alignment vertical="center"/>
    </xf>
    <xf numFmtId="0" fontId="17" fillId="0" borderId="13" xfId="0" applyNumberFormat="1" applyFont="1" applyFill="1" applyBorder="1" applyAlignment="1">
      <alignment vertical="center"/>
    </xf>
    <xf numFmtId="0" fontId="17" fillId="0" borderId="13" xfId="0" applyNumberFormat="1" applyFont="1" applyFill="1" applyBorder="1" applyAlignment="1">
      <alignment vertical="center" wrapText="1"/>
    </xf>
    <xf numFmtId="3" fontId="17" fillId="0" borderId="13" xfId="0" applyNumberFormat="1" applyFont="1" applyFill="1" applyBorder="1" applyAlignment="1">
      <alignment vertical="center"/>
    </xf>
    <xf numFmtId="3" fontId="17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7" fillId="0" borderId="3" xfId="0" applyNumberFormat="1" applyFont="1" applyFill="1" applyBorder="1" applyAlignment="1">
      <alignment vertical="center"/>
    </xf>
    <xf numFmtId="0" fontId="17" fillId="0" borderId="2" xfId="0" applyNumberFormat="1" applyFont="1" applyFill="1" applyBorder="1" applyAlignment="1">
      <alignment vertical="center" wrapText="1"/>
    </xf>
    <xf numFmtId="0" fontId="17" fillId="0" borderId="2" xfId="0" applyNumberFormat="1" applyFont="1" applyFill="1" applyBorder="1" applyAlignment="1">
      <alignment vertical="center"/>
    </xf>
    <xf numFmtId="3" fontId="17" fillId="0" borderId="2" xfId="0" applyNumberFormat="1" applyFont="1" applyFill="1" applyBorder="1" applyAlignment="1">
      <alignment vertical="center"/>
    </xf>
    <xf numFmtId="3" fontId="17" fillId="0" borderId="12" xfId="0" applyNumberFormat="1" applyFont="1" applyFill="1" applyBorder="1" applyAlignment="1">
      <alignment vertical="center"/>
    </xf>
    <xf numFmtId="0" fontId="17" fillId="0" borderId="0" xfId="0" applyNumberFormat="1" applyFont="1" applyFill="1" applyAlignment="1">
      <alignment vertical="center"/>
    </xf>
    <xf numFmtId="0" fontId="17" fillId="0" borderId="13" xfId="0" applyNumberFormat="1" applyFont="1" applyFill="1" applyBorder="1" applyAlignment="1">
      <alignment horizontal="center" vertical="center"/>
    </xf>
    <xf numFmtId="0" fontId="17" fillId="0" borderId="13" xfId="0" applyNumberFormat="1" applyFont="1" applyFill="1" applyBorder="1" applyAlignment="1">
      <alignment horizontal="center" vertical="center" wrapText="1"/>
    </xf>
    <xf numFmtId="3" fontId="17" fillId="0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7" fillId="0" borderId="24" xfId="0" applyNumberFormat="1" applyFont="1" applyFill="1" applyBorder="1" applyAlignment="1">
      <alignment horizontal="center" vertical="center"/>
    </xf>
    <xf numFmtId="0" fontId="17" fillId="0" borderId="24" xfId="0" applyNumberFormat="1" applyFont="1" applyFill="1" applyBorder="1" applyAlignment="1">
      <alignment horizontal="center" vertical="center" wrapText="1"/>
    </xf>
    <xf numFmtId="3" fontId="17" fillId="0" borderId="24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 wrapText="1"/>
    </xf>
    <xf numFmtId="0" fontId="0" fillId="0" borderId="0" xfId="0" applyFill="1"/>
    <xf numFmtId="164" fontId="18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2" fillId="0" borderId="0" xfId="0" applyFont="1"/>
    <xf numFmtId="3" fontId="2" fillId="0" borderId="0" xfId="0" applyNumberFormat="1" applyFont="1"/>
    <xf numFmtId="3" fontId="16" fillId="0" borderId="0" xfId="0" applyNumberFormat="1" applyFont="1"/>
    <xf numFmtId="0" fontId="13" fillId="5" borderId="0" xfId="0" applyFont="1" applyFill="1" applyBorder="1"/>
    <xf numFmtId="0" fontId="13" fillId="5" borderId="0" xfId="0" applyFont="1" applyFill="1" applyBorder="1" applyAlignment="1"/>
    <xf numFmtId="0" fontId="14" fillId="5" borderId="0" xfId="0" applyFont="1" applyFill="1" applyBorder="1" applyAlignment="1">
      <alignment horizontal="right"/>
    </xf>
    <xf numFmtId="0" fontId="14" fillId="5" borderId="0" xfId="0" applyFont="1" applyFill="1" applyBorder="1"/>
    <xf numFmtId="4" fontId="4" fillId="0" borderId="13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4" fontId="0" fillId="0" borderId="26" xfId="0" applyNumberFormat="1" applyBorder="1"/>
    <xf numFmtId="4" fontId="0" fillId="0" borderId="24" xfId="0" applyNumberFormat="1" applyBorder="1"/>
    <xf numFmtId="4" fontId="0" fillId="0" borderId="13" xfId="0" applyNumberFormat="1" applyBorder="1"/>
    <xf numFmtId="4" fontId="11" fillId="0" borderId="13" xfId="0" applyNumberFormat="1" applyFont="1" applyBorder="1"/>
    <xf numFmtId="4" fontId="12" fillId="0" borderId="13" xfId="0" applyNumberFormat="1" applyFont="1" applyBorder="1"/>
    <xf numFmtId="4" fontId="0" fillId="0" borderId="31" xfId="0" applyNumberFormat="1" applyBorder="1"/>
    <xf numFmtId="4" fontId="11" fillId="0" borderId="31" xfId="0" applyNumberFormat="1" applyFont="1" applyBorder="1"/>
    <xf numFmtId="4" fontId="0" fillId="5" borderId="39" xfId="0" applyNumberFormat="1" applyFill="1" applyBorder="1"/>
    <xf numFmtId="4" fontId="0" fillId="5" borderId="40" xfId="0" applyNumberFormat="1" applyFill="1" applyBorder="1"/>
    <xf numFmtId="4" fontId="0" fillId="5" borderId="0" xfId="0" applyNumberFormat="1" applyFill="1" applyBorder="1"/>
    <xf numFmtId="4" fontId="14" fillId="5" borderId="0" xfId="0" applyNumberFormat="1" applyFont="1" applyFill="1" applyBorder="1"/>
    <xf numFmtId="4" fontId="0" fillId="0" borderId="0" xfId="0" applyNumberFormat="1" applyBorder="1"/>
    <xf numFmtId="4" fontId="0" fillId="0" borderId="0" xfId="0" applyNumberFormat="1"/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 applyAlignment="1">
      <alignment wrapText="1"/>
    </xf>
    <xf numFmtId="3" fontId="16" fillId="0" borderId="0" xfId="0" applyNumberFormat="1" applyFont="1" applyFill="1" applyAlignment="1">
      <alignment wrapText="1"/>
    </xf>
    <xf numFmtId="4" fontId="0" fillId="0" borderId="0" xfId="0" applyNumberFormat="1" applyFill="1" applyAlignment="1">
      <alignment wrapText="1"/>
    </xf>
    <xf numFmtId="4" fontId="0" fillId="0" borderId="0" xfId="0" applyNumberFormat="1" applyFill="1" applyBorder="1"/>
    <xf numFmtId="0" fontId="2" fillId="0" borderId="0" xfId="0" applyFont="1" applyFill="1"/>
    <xf numFmtId="3" fontId="2" fillId="0" borderId="0" xfId="0" applyNumberFormat="1" applyFont="1" applyFill="1"/>
    <xf numFmtId="3" fontId="16" fillId="0" borderId="0" xfId="0" applyNumberFormat="1" applyFont="1" applyFill="1"/>
    <xf numFmtId="4" fontId="0" fillId="0" borderId="0" xfId="0" applyNumberFormat="1" applyFill="1"/>
    <xf numFmtId="0" fontId="1" fillId="0" borderId="2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7" fontId="1" fillId="0" borderId="5" xfId="0" applyNumberFormat="1" applyFont="1" applyFill="1" applyBorder="1" applyAlignment="1">
      <alignment horizontal="center"/>
    </xf>
    <xf numFmtId="16" fontId="1" fillId="0" borderId="5" xfId="0" applyNumberFormat="1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3" fillId="8" borderId="18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5" fillId="8" borderId="24" xfId="0" applyFont="1" applyFill="1" applyBorder="1"/>
    <xf numFmtId="0" fontId="5" fillId="8" borderId="13" xfId="0" applyFont="1" applyFill="1" applyBorder="1"/>
    <xf numFmtId="0" fontId="9" fillId="8" borderId="13" xfId="0" applyFont="1" applyFill="1" applyBorder="1"/>
    <xf numFmtId="0" fontId="5" fillId="8" borderId="33" xfId="0" applyFont="1" applyFill="1" applyBorder="1"/>
    <xf numFmtId="0" fontId="13" fillId="5" borderId="38" xfId="0" applyFont="1" applyFill="1" applyBorder="1"/>
    <xf numFmtId="0" fontId="3" fillId="0" borderId="3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/>
    </xf>
    <xf numFmtId="0" fontId="0" fillId="4" borderId="13" xfId="0" applyFill="1" applyBorder="1"/>
    <xf numFmtId="0" fontId="0" fillId="7" borderId="13" xfId="0" applyFont="1" applyFill="1" applyBorder="1"/>
    <xf numFmtId="0" fontId="0" fillId="7" borderId="13" xfId="0" applyFill="1" applyBorder="1"/>
    <xf numFmtId="0" fontId="0" fillId="0" borderId="13" xfId="0" applyFill="1" applyBorder="1"/>
    <xf numFmtId="0" fontId="0" fillId="0" borderId="13" xfId="0" applyBorder="1" applyAlignment="1">
      <alignment wrapText="1"/>
    </xf>
    <xf numFmtId="0" fontId="2" fillId="0" borderId="13" xfId="0" applyFont="1" applyBorder="1" applyAlignment="1">
      <alignment wrapText="1"/>
    </xf>
    <xf numFmtId="3" fontId="2" fillId="0" borderId="13" xfId="0" applyNumberFormat="1" applyFont="1" applyBorder="1" applyAlignment="1">
      <alignment wrapText="1"/>
    </xf>
    <xf numFmtId="3" fontId="16" fillId="0" borderId="13" xfId="0" applyNumberFormat="1" applyFont="1" applyBorder="1" applyAlignment="1">
      <alignment wrapText="1"/>
    </xf>
    <xf numFmtId="4" fontId="0" fillId="0" borderId="13" xfId="0" applyNumberFormat="1" applyBorder="1" applyAlignment="1">
      <alignment wrapText="1"/>
    </xf>
    <xf numFmtId="0" fontId="16" fillId="0" borderId="0" xfId="0" applyNumberFormat="1" applyFont="1" applyFill="1" applyBorder="1" applyAlignment="1">
      <alignment vertical="center" wrapText="1"/>
    </xf>
    <xf numFmtId="3" fontId="19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1" fillId="0" borderId="13" xfId="0" applyNumberFormat="1" applyFont="1" applyFill="1" applyBorder="1" applyAlignment="1">
      <alignment vertical="center"/>
    </xf>
    <xf numFmtId="0" fontId="11" fillId="0" borderId="0" xfId="0" applyNumberFormat="1" applyFont="1" applyFill="1" applyAlignment="1">
      <alignment vertical="center"/>
    </xf>
    <xf numFmtId="0" fontId="11" fillId="0" borderId="13" xfId="0" applyNumberFormat="1" applyFont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13" xfId="0" applyNumberFormat="1" applyFont="1" applyFill="1" applyBorder="1" applyAlignment="1">
      <alignment vertical="center" wrapText="1"/>
    </xf>
    <xf numFmtId="0" fontId="11" fillId="0" borderId="0" xfId="0" applyNumberFormat="1" applyFont="1" applyFill="1" applyAlignment="1">
      <alignment vertical="center" wrapText="1"/>
    </xf>
    <xf numFmtId="4" fontId="11" fillId="0" borderId="13" xfId="0" applyNumberFormat="1" applyFont="1" applyFill="1" applyBorder="1" applyAlignment="1">
      <alignment vertical="center" wrapText="1"/>
    </xf>
    <xf numFmtId="0" fontId="11" fillId="0" borderId="13" xfId="0" applyNumberFormat="1" applyFont="1" applyBorder="1" applyAlignment="1">
      <alignment vertical="center" wrapText="1"/>
    </xf>
    <xf numFmtId="0" fontId="11" fillId="0" borderId="2" xfId="0" applyNumberFormat="1" applyFont="1" applyFill="1" applyBorder="1" applyAlignment="1">
      <alignment vertical="center" wrapText="1"/>
    </xf>
    <xf numFmtId="3" fontId="11" fillId="0" borderId="13" xfId="0" applyNumberFormat="1" applyFont="1" applyFill="1" applyBorder="1" applyAlignment="1">
      <alignment vertical="center"/>
    </xf>
    <xf numFmtId="3" fontId="11" fillId="0" borderId="0" xfId="0" applyNumberFormat="1" applyFont="1" applyFill="1" applyAlignment="1">
      <alignment vertical="center"/>
    </xf>
    <xf numFmtId="4" fontId="11" fillId="0" borderId="13" xfId="0" applyNumberFormat="1" applyFont="1" applyFill="1" applyBorder="1" applyAlignment="1">
      <alignment vertical="center"/>
    </xf>
    <xf numFmtId="3" fontId="11" fillId="0" borderId="12" xfId="0" applyNumberFormat="1" applyFont="1" applyFill="1" applyBorder="1" applyAlignment="1">
      <alignment vertical="center"/>
    </xf>
    <xf numFmtId="3" fontId="11" fillId="0" borderId="13" xfId="0" applyNumberFormat="1" applyFont="1" applyBorder="1" applyAlignment="1">
      <alignment vertical="center"/>
    </xf>
    <xf numFmtId="0" fontId="11" fillId="0" borderId="2" xfId="0" applyNumberFormat="1" applyFont="1" applyFill="1" applyBorder="1" applyAlignment="1">
      <alignment vertical="center"/>
    </xf>
    <xf numFmtId="3" fontId="11" fillId="0" borderId="2" xfId="0" applyNumberFormat="1" applyFont="1" applyFill="1" applyBorder="1" applyAlignment="1">
      <alignment vertical="center"/>
    </xf>
    <xf numFmtId="3" fontId="11" fillId="0" borderId="13" xfId="0" applyNumberFormat="1" applyFont="1" applyFill="1" applyBorder="1" applyAlignment="1">
      <alignment vertical="center" wrapText="1"/>
    </xf>
    <xf numFmtId="1" fontId="11" fillId="0" borderId="13" xfId="0" applyNumberFormat="1" applyFont="1" applyFill="1" applyBorder="1" applyAlignment="1">
      <alignment vertical="center"/>
    </xf>
    <xf numFmtId="0" fontId="20" fillId="0" borderId="13" xfId="0" applyNumberFormat="1" applyFont="1" applyFill="1" applyBorder="1" applyAlignment="1">
      <alignment vertical="center"/>
    </xf>
    <xf numFmtId="0" fontId="20" fillId="0" borderId="3" xfId="0" applyNumberFormat="1" applyFont="1" applyFill="1" applyBorder="1" applyAlignment="1">
      <alignment vertical="center"/>
    </xf>
    <xf numFmtId="3" fontId="20" fillId="0" borderId="13" xfId="0" applyNumberFormat="1" applyFont="1" applyFill="1" applyBorder="1" applyAlignment="1">
      <alignment vertical="center"/>
    </xf>
    <xf numFmtId="3" fontId="0" fillId="0" borderId="0" xfId="0" applyNumberFormat="1" applyFill="1" applyAlignment="1">
      <alignment vertical="center"/>
    </xf>
    <xf numFmtId="0" fontId="0" fillId="0" borderId="0" xfId="0" applyFont="1" applyFill="1" applyAlignment="1">
      <alignment vertical="center"/>
    </xf>
    <xf numFmtId="0" fontId="20" fillId="0" borderId="13" xfId="0" applyNumberFormat="1" applyFont="1" applyFill="1" applyBorder="1" applyAlignment="1">
      <alignment vertical="center" wrapText="1"/>
    </xf>
    <xf numFmtId="3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1" fillId="0" borderId="13" xfId="0" applyNumberFormat="1" applyFont="1" applyFill="1" applyBorder="1" applyAlignment="1">
      <alignment horizontal="center" vertical="center"/>
    </xf>
    <xf numFmtId="0" fontId="20" fillId="0" borderId="13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0" fontId="11" fillId="0" borderId="13" xfId="0" applyNumberFormat="1" applyFont="1" applyBorder="1" applyAlignment="1">
      <alignment horizontal="center" vertical="center"/>
    </xf>
    <xf numFmtId="0" fontId="11" fillId="0" borderId="13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8" borderId="9" xfId="0" applyFont="1" applyFill="1" applyBorder="1" applyAlignment="1" applyProtection="1">
      <alignment horizontal="center" vertical="center"/>
      <protection locked="0"/>
    </xf>
    <xf numFmtId="0" fontId="3" fillId="8" borderId="10" xfId="0" applyFont="1" applyFill="1" applyBorder="1" applyAlignment="1" applyProtection="1">
      <alignment horizontal="center" vertical="center"/>
      <protection locked="0"/>
    </xf>
    <xf numFmtId="0" fontId="3" fillId="8" borderId="43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/>
    </xf>
    <xf numFmtId="0" fontId="3" fillId="8" borderId="14" xfId="0" applyFont="1" applyFill="1" applyBorder="1" applyAlignment="1">
      <alignment horizontal="center"/>
    </xf>
    <xf numFmtId="3" fontId="17" fillId="0" borderId="2" xfId="0" applyNumberFormat="1" applyFont="1" applyFill="1" applyBorder="1" applyAlignment="1">
      <alignment horizontal="center" vertical="center"/>
    </xf>
    <xf numFmtId="3" fontId="17" fillId="0" borderId="12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horizontal="left" vertical="center"/>
    </xf>
    <xf numFmtId="3" fontId="11" fillId="0" borderId="0" xfId="0" applyNumberFormat="1" applyFont="1" applyFill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view="pageBreakPreview" topLeftCell="E1" zoomScale="90" zoomScaleNormal="100" zoomScaleSheetLayoutView="90" workbookViewId="0">
      <selection activeCell="T28" sqref="T28"/>
    </sheetView>
  </sheetViews>
  <sheetFormatPr defaultRowHeight="15" x14ac:dyDescent="0.25"/>
  <cols>
    <col min="1" max="1" width="3.28515625" customWidth="1"/>
    <col min="2" max="2" width="12.85546875" style="76" customWidth="1"/>
    <col min="3" max="3" width="17" style="76" customWidth="1"/>
    <col min="4" max="4" width="11.140625" style="74" customWidth="1"/>
    <col min="5" max="5" width="8.85546875" style="75" customWidth="1"/>
    <col min="6" max="6" width="8.5703125" style="76" customWidth="1"/>
    <col min="7" max="7" width="8" style="72" customWidth="1"/>
    <col min="8" max="8" width="8.140625" style="72" hidden="1" customWidth="1"/>
    <col min="9" max="9" width="6.7109375" style="72" hidden="1" customWidth="1"/>
    <col min="10" max="10" width="7.42578125" style="72" customWidth="1"/>
    <col min="11" max="11" width="6.85546875" style="72" customWidth="1"/>
    <col min="12" max="12" width="7" style="38" customWidth="1"/>
    <col min="13" max="13" width="8.85546875" hidden="1" customWidth="1"/>
    <col min="14" max="14" width="5.5703125" style="77" hidden="1" customWidth="1"/>
    <col min="15" max="15" width="5.7109375" style="78" hidden="1" customWidth="1"/>
    <col min="16" max="16" width="5.85546875" style="78" hidden="1" customWidth="1"/>
    <col min="17" max="17" width="14.28515625" customWidth="1"/>
    <col min="18" max="18" width="12.85546875" customWidth="1"/>
    <col min="19" max="19" width="0.140625" customWidth="1"/>
    <col min="20" max="20" width="9.7109375" style="128" bestFit="1" customWidth="1"/>
    <col min="21" max="21" width="9.28515625" style="128" bestFit="1" customWidth="1"/>
    <col min="22" max="22" width="9.7109375" style="128" bestFit="1" customWidth="1"/>
    <col min="23" max="24" width="9.28515625" style="128" bestFit="1" customWidth="1"/>
    <col min="25" max="25" width="9.7109375" style="128" bestFit="1" customWidth="1"/>
    <col min="26" max="30" width="9.28515625" style="128" bestFit="1" customWidth="1"/>
    <col min="258" max="258" width="3.28515625" customWidth="1"/>
    <col min="259" max="259" width="12.85546875" customWidth="1"/>
    <col min="260" max="260" width="17" customWidth="1"/>
    <col min="261" max="261" width="11.140625" customWidth="1"/>
    <col min="262" max="262" width="8.85546875" customWidth="1"/>
    <col min="263" max="263" width="8.5703125" customWidth="1"/>
    <col min="264" max="264" width="8.42578125" customWidth="1"/>
    <col min="265" max="265" width="8.140625" customWidth="1"/>
    <col min="266" max="266" width="0" hidden="1" customWidth="1"/>
    <col min="267" max="267" width="7.42578125" customWidth="1"/>
    <col min="268" max="268" width="6.85546875" customWidth="1"/>
    <col min="269" max="269" width="7" customWidth="1"/>
    <col min="270" max="273" width="0" hidden="1" customWidth="1"/>
    <col min="274" max="274" width="8.7109375" customWidth="1"/>
    <col min="275" max="275" width="12.85546875" customWidth="1"/>
    <col min="276" max="276" width="16.85546875" customWidth="1"/>
    <col min="514" max="514" width="3.28515625" customWidth="1"/>
    <col min="515" max="515" width="12.85546875" customWidth="1"/>
    <col min="516" max="516" width="17" customWidth="1"/>
    <col min="517" max="517" width="11.140625" customWidth="1"/>
    <col min="518" max="518" width="8.85546875" customWidth="1"/>
    <col min="519" max="519" width="8.5703125" customWidth="1"/>
    <col min="520" max="520" width="8.42578125" customWidth="1"/>
    <col min="521" max="521" width="8.140625" customWidth="1"/>
    <col min="522" max="522" width="0" hidden="1" customWidth="1"/>
    <col min="523" max="523" width="7.42578125" customWidth="1"/>
    <col min="524" max="524" width="6.85546875" customWidth="1"/>
    <col min="525" max="525" width="7" customWidth="1"/>
    <col min="526" max="529" width="0" hidden="1" customWidth="1"/>
    <col min="530" max="530" width="8.7109375" customWidth="1"/>
    <col min="531" max="531" width="12.85546875" customWidth="1"/>
    <col min="532" max="532" width="16.85546875" customWidth="1"/>
    <col min="770" max="770" width="3.28515625" customWidth="1"/>
    <col min="771" max="771" width="12.85546875" customWidth="1"/>
    <col min="772" max="772" width="17" customWidth="1"/>
    <col min="773" max="773" width="11.140625" customWidth="1"/>
    <col min="774" max="774" width="8.85546875" customWidth="1"/>
    <col min="775" max="775" width="8.5703125" customWidth="1"/>
    <col min="776" max="776" width="8.42578125" customWidth="1"/>
    <col min="777" max="777" width="8.140625" customWidth="1"/>
    <col min="778" max="778" width="0" hidden="1" customWidth="1"/>
    <col min="779" max="779" width="7.42578125" customWidth="1"/>
    <col min="780" max="780" width="6.85546875" customWidth="1"/>
    <col min="781" max="781" width="7" customWidth="1"/>
    <col min="782" max="785" width="0" hidden="1" customWidth="1"/>
    <col min="786" max="786" width="8.7109375" customWidth="1"/>
    <col min="787" max="787" width="12.85546875" customWidth="1"/>
    <col min="788" max="788" width="16.85546875" customWidth="1"/>
    <col min="1026" max="1026" width="3.28515625" customWidth="1"/>
    <col min="1027" max="1027" width="12.85546875" customWidth="1"/>
    <col min="1028" max="1028" width="17" customWidth="1"/>
    <col min="1029" max="1029" width="11.140625" customWidth="1"/>
    <col min="1030" max="1030" width="8.85546875" customWidth="1"/>
    <col min="1031" max="1031" width="8.5703125" customWidth="1"/>
    <col min="1032" max="1032" width="8.42578125" customWidth="1"/>
    <col min="1033" max="1033" width="8.140625" customWidth="1"/>
    <col min="1034" max="1034" width="0" hidden="1" customWidth="1"/>
    <col min="1035" max="1035" width="7.42578125" customWidth="1"/>
    <col min="1036" max="1036" width="6.85546875" customWidth="1"/>
    <col min="1037" max="1037" width="7" customWidth="1"/>
    <col min="1038" max="1041" width="0" hidden="1" customWidth="1"/>
    <col min="1042" max="1042" width="8.7109375" customWidth="1"/>
    <col min="1043" max="1043" width="12.85546875" customWidth="1"/>
    <col min="1044" max="1044" width="16.85546875" customWidth="1"/>
    <col min="1282" max="1282" width="3.28515625" customWidth="1"/>
    <col min="1283" max="1283" width="12.85546875" customWidth="1"/>
    <col min="1284" max="1284" width="17" customWidth="1"/>
    <col min="1285" max="1285" width="11.140625" customWidth="1"/>
    <col min="1286" max="1286" width="8.85546875" customWidth="1"/>
    <col min="1287" max="1287" width="8.5703125" customWidth="1"/>
    <col min="1288" max="1288" width="8.42578125" customWidth="1"/>
    <col min="1289" max="1289" width="8.140625" customWidth="1"/>
    <col min="1290" max="1290" width="0" hidden="1" customWidth="1"/>
    <col min="1291" max="1291" width="7.42578125" customWidth="1"/>
    <col min="1292" max="1292" width="6.85546875" customWidth="1"/>
    <col min="1293" max="1293" width="7" customWidth="1"/>
    <col min="1294" max="1297" width="0" hidden="1" customWidth="1"/>
    <col min="1298" max="1298" width="8.7109375" customWidth="1"/>
    <col min="1299" max="1299" width="12.85546875" customWidth="1"/>
    <col min="1300" max="1300" width="16.85546875" customWidth="1"/>
    <col min="1538" max="1538" width="3.28515625" customWidth="1"/>
    <col min="1539" max="1539" width="12.85546875" customWidth="1"/>
    <col min="1540" max="1540" width="17" customWidth="1"/>
    <col min="1541" max="1541" width="11.140625" customWidth="1"/>
    <col min="1542" max="1542" width="8.85546875" customWidth="1"/>
    <col min="1543" max="1543" width="8.5703125" customWidth="1"/>
    <col min="1544" max="1544" width="8.42578125" customWidth="1"/>
    <col min="1545" max="1545" width="8.140625" customWidth="1"/>
    <col min="1546" max="1546" width="0" hidden="1" customWidth="1"/>
    <col min="1547" max="1547" width="7.42578125" customWidth="1"/>
    <col min="1548" max="1548" width="6.85546875" customWidth="1"/>
    <col min="1549" max="1549" width="7" customWidth="1"/>
    <col min="1550" max="1553" width="0" hidden="1" customWidth="1"/>
    <col min="1554" max="1554" width="8.7109375" customWidth="1"/>
    <col min="1555" max="1555" width="12.85546875" customWidth="1"/>
    <col min="1556" max="1556" width="16.85546875" customWidth="1"/>
    <col min="1794" max="1794" width="3.28515625" customWidth="1"/>
    <col min="1795" max="1795" width="12.85546875" customWidth="1"/>
    <col min="1796" max="1796" width="17" customWidth="1"/>
    <col min="1797" max="1797" width="11.140625" customWidth="1"/>
    <col min="1798" max="1798" width="8.85546875" customWidth="1"/>
    <col min="1799" max="1799" width="8.5703125" customWidth="1"/>
    <col min="1800" max="1800" width="8.42578125" customWidth="1"/>
    <col min="1801" max="1801" width="8.140625" customWidth="1"/>
    <col min="1802" max="1802" width="0" hidden="1" customWidth="1"/>
    <col min="1803" max="1803" width="7.42578125" customWidth="1"/>
    <col min="1804" max="1804" width="6.85546875" customWidth="1"/>
    <col min="1805" max="1805" width="7" customWidth="1"/>
    <col min="1806" max="1809" width="0" hidden="1" customWidth="1"/>
    <col min="1810" max="1810" width="8.7109375" customWidth="1"/>
    <col min="1811" max="1811" width="12.85546875" customWidth="1"/>
    <col min="1812" max="1812" width="16.85546875" customWidth="1"/>
    <col min="2050" max="2050" width="3.28515625" customWidth="1"/>
    <col min="2051" max="2051" width="12.85546875" customWidth="1"/>
    <col min="2052" max="2052" width="17" customWidth="1"/>
    <col min="2053" max="2053" width="11.140625" customWidth="1"/>
    <col min="2054" max="2054" width="8.85546875" customWidth="1"/>
    <col min="2055" max="2055" width="8.5703125" customWidth="1"/>
    <col min="2056" max="2056" width="8.42578125" customWidth="1"/>
    <col min="2057" max="2057" width="8.140625" customWidth="1"/>
    <col min="2058" max="2058" width="0" hidden="1" customWidth="1"/>
    <col min="2059" max="2059" width="7.42578125" customWidth="1"/>
    <col min="2060" max="2060" width="6.85546875" customWidth="1"/>
    <col min="2061" max="2061" width="7" customWidth="1"/>
    <col min="2062" max="2065" width="0" hidden="1" customWidth="1"/>
    <col min="2066" max="2066" width="8.7109375" customWidth="1"/>
    <col min="2067" max="2067" width="12.85546875" customWidth="1"/>
    <col min="2068" max="2068" width="16.85546875" customWidth="1"/>
    <col min="2306" max="2306" width="3.28515625" customWidth="1"/>
    <col min="2307" max="2307" width="12.85546875" customWidth="1"/>
    <col min="2308" max="2308" width="17" customWidth="1"/>
    <col min="2309" max="2309" width="11.140625" customWidth="1"/>
    <col min="2310" max="2310" width="8.85546875" customWidth="1"/>
    <col min="2311" max="2311" width="8.5703125" customWidth="1"/>
    <col min="2312" max="2312" width="8.42578125" customWidth="1"/>
    <col min="2313" max="2313" width="8.140625" customWidth="1"/>
    <col min="2314" max="2314" width="0" hidden="1" customWidth="1"/>
    <col min="2315" max="2315" width="7.42578125" customWidth="1"/>
    <col min="2316" max="2316" width="6.85546875" customWidth="1"/>
    <col min="2317" max="2317" width="7" customWidth="1"/>
    <col min="2318" max="2321" width="0" hidden="1" customWidth="1"/>
    <col min="2322" max="2322" width="8.7109375" customWidth="1"/>
    <col min="2323" max="2323" width="12.85546875" customWidth="1"/>
    <col min="2324" max="2324" width="16.85546875" customWidth="1"/>
    <col min="2562" max="2562" width="3.28515625" customWidth="1"/>
    <col min="2563" max="2563" width="12.85546875" customWidth="1"/>
    <col min="2564" max="2564" width="17" customWidth="1"/>
    <col min="2565" max="2565" width="11.140625" customWidth="1"/>
    <col min="2566" max="2566" width="8.85546875" customWidth="1"/>
    <col min="2567" max="2567" width="8.5703125" customWidth="1"/>
    <col min="2568" max="2568" width="8.42578125" customWidth="1"/>
    <col min="2569" max="2569" width="8.140625" customWidth="1"/>
    <col min="2570" max="2570" width="0" hidden="1" customWidth="1"/>
    <col min="2571" max="2571" width="7.42578125" customWidth="1"/>
    <col min="2572" max="2572" width="6.85546875" customWidth="1"/>
    <col min="2573" max="2573" width="7" customWidth="1"/>
    <col min="2574" max="2577" width="0" hidden="1" customWidth="1"/>
    <col min="2578" max="2578" width="8.7109375" customWidth="1"/>
    <col min="2579" max="2579" width="12.85546875" customWidth="1"/>
    <col min="2580" max="2580" width="16.85546875" customWidth="1"/>
    <col min="2818" max="2818" width="3.28515625" customWidth="1"/>
    <col min="2819" max="2819" width="12.85546875" customWidth="1"/>
    <col min="2820" max="2820" width="17" customWidth="1"/>
    <col min="2821" max="2821" width="11.140625" customWidth="1"/>
    <col min="2822" max="2822" width="8.85546875" customWidth="1"/>
    <col min="2823" max="2823" width="8.5703125" customWidth="1"/>
    <col min="2824" max="2824" width="8.42578125" customWidth="1"/>
    <col min="2825" max="2825" width="8.140625" customWidth="1"/>
    <col min="2826" max="2826" width="0" hidden="1" customWidth="1"/>
    <col min="2827" max="2827" width="7.42578125" customWidth="1"/>
    <col min="2828" max="2828" width="6.85546875" customWidth="1"/>
    <col min="2829" max="2829" width="7" customWidth="1"/>
    <col min="2830" max="2833" width="0" hidden="1" customWidth="1"/>
    <col min="2834" max="2834" width="8.7109375" customWidth="1"/>
    <col min="2835" max="2835" width="12.85546875" customWidth="1"/>
    <col min="2836" max="2836" width="16.85546875" customWidth="1"/>
    <col min="3074" max="3074" width="3.28515625" customWidth="1"/>
    <col min="3075" max="3075" width="12.85546875" customWidth="1"/>
    <col min="3076" max="3076" width="17" customWidth="1"/>
    <col min="3077" max="3077" width="11.140625" customWidth="1"/>
    <col min="3078" max="3078" width="8.85546875" customWidth="1"/>
    <col min="3079" max="3079" width="8.5703125" customWidth="1"/>
    <col min="3080" max="3080" width="8.42578125" customWidth="1"/>
    <col min="3081" max="3081" width="8.140625" customWidth="1"/>
    <col min="3082" max="3082" width="0" hidden="1" customWidth="1"/>
    <col min="3083" max="3083" width="7.42578125" customWidth="1"/>
    <col min="3084" max="3084" width="6.85546875" customWidth="1"/>
    <col min="3085" max="3085" width="7" customWidth="1"/>
    <col min="3086" max="3089" width="0" hidden="1" customWidth="1"/>
    <col min="3090" max="3090" width="8.7109375" customWidth="1"/>
    <col min="3091" max="3091" width="12.85546875" customWidth="1"/>
    <col min="3092" max="3092" width="16.85546875" customWidth="1"/>
    <col min="3330" max="3330" width="3.28515625" customWidth="1"/>
    <col min="3331" max="3331" width="12.85546875" customWidth="1"/>
    <col min="3332" max="3332" width="17" customWidth="1"/>
    <col min="3333" max="3333" width="11.140625" customWidth="1"/>
    <col min="3334" max="3334" width="8.85546875" customWidth="1"/>
    <col min="3335" max="3335" width="8.5703125" customWidth="1"/>
    <col min="3336" max="3336" width="8.42578125" customWidth="1"/>
    <col min="3337" max="3337" width="8.140625" customWidth="1"/>
    <col min="3338" max="3338" width="0" hidden="1" customWidth="1"/>
    <col min="3339" max="3339" width="7.42578125" customWidth="1"/>
    <col min="3340" max="3340" width="6.85546875" customWidth="1"/>
    <col min="3341" max="3341" width="7" customWidth="1"/>
    <col min="3342" max="3345" width="0" hidden="1" customWidth="1"/>
    <col min="3346" max="3346" width="8.7109375" customWidth="1"/>
    <col min="3347" max="3347" width="12.85546875" customWidth="1"/>
    <col min="3348" max="3348" width="16.85546875" customWidth="1"/>
    <col min="3586" max="3586" width="3.28515625" customWidth="1"/>
    <col min="3587" max="3587" width="12.85546875" customWidth="1"/>
    <col min="3588" max="3588" width="17" customWidth="1"/>
    <col min="3589" max="3589" width="11.140625" customWidth="1"/>
    <col min="3590" max="3590" width="8.85546875" customWidth="1"/>
    <col min="3591" max="3591" width="8.5703125" customWidth="1"/>
    <col min="3592" max="3592" width="8.42578125" customWidth="1"/>
    <col min="3593" max="3593" width="8.140625" customWidth="1"/>
    <col min="3594" max="3594" width="0" hidden="1" customWidth="1"/>
    <col min="3595" max="3595" width="7.42578125" customWidth="1"/>
    <col min="3596" max="3596" width="6.85546875" customWidth="1"/>
    <col min="3597" max="3597" width="7" customWidth="1"/>
    <col min="3598" max="3601" width="0" hidden="1" customWidth="1"/>
    <col min="3602" max="3602" width="8.7109375" customWidth="1"/>
    <col min="3603" max="3603" width="12.85546875" customWidth="1"/>
    <col min="3604" max="3604" width="16.85546875" customWidth="1"/>
    <col min="3842" max="3842" width="3.28515625" customWidth="1"/>
    <col min="3843" max="3843" width="12.85546875" customWidth="1"/>
    <col min="3844" max="3844" width="17" customWidth="1"/>
    <col min="3845" max="3845" width="11.140625" customWidth="1"/>
    <col min="3846" max="3846" width="8.85546875" customWidth="1"/>
    <col min="3847" max="3847" width="8.5703125" customWidth="1"/>
    <col min="3848" max="3848" width="8.42578125" customWidth="1"/>
    <col min="3849" max="3849" width="8.140625" customWidth="1"/>
    <col min="3850" max="3850" width="0" hidden="1" customWidth="1"/>
    <col min="3851" max="3851" width="7.42578125" customWidth="1"/>
    <col min="3852" max="3852" width="6.85546875" customWidth="1"/>
    <col min="3853" max="3853" width="7" customWidth="1"/>
    <col min="3854" max="3857" width="0" hidden="1" customWidth="1"/>
    <col min="3858" max="3858" width="8.7109375" customWidth="1"/>
    <col min="3859" max="3859" width="12.85546875" customWidth="1"/>
    <col min="3860" max="3860" width="16.85546875" customWidth="1"/>
    <col min="4098" max="4098" width="3.28515625" customWidth="1"/>
    <col min="4099" max="4099" width="12.85546875" customWidth="1"/>
    <col min="4100" max="4100" width="17" customWidth="1"/>
    <col min="4101" max="4101" width="11.140625" customWidth="1"/>
    <col min="4102" max="4102" width="8.85546875" customWidth="1"/>
    <col min="4103" max="4103" width="8.5703125" customWidth="1"/>
    <col min="4104" max="4104" width="8.42578125" customWidth="1"/>
    <col min="4105" max="4105" width="8.140625" customWidth="1"/>
    <col min="4106" max="4106" width="0" hidden="1" customWidth="1"/>
    <col min="4107" max="4107" width="7.42578125" customWidth="1"/>
    <col min="4108" max="4108" width="6.85546875" customWidth="1"/>
    <col min="4109" max="4109" width="7" customWidth="1"/>
    <col min="4110" max="4113" width="0" hidden="1" customWidth="1"/>
    <col min="4114" max="4114" width="8.7109375" customWidth="1"/>
    <col min="4115" max="4115" width="12.85546875" customWidth="1"/>
    <col min="4116" max="4116" width="16.85546875" customWidth="1"/>
    <col min="4354" max="4354" width="3.28515625" customWidth="1"/>
    <col min="4355" max="4355" width="12.85546875" customWidth="1"/>
    <col min="4356" max="4356" width="17" customWidth="1"/>
    <col min="4357" max="4357" width="11.140625" customWidth="1"/>
    <col min="4358" max="4358" width="8.85546875" customWidth="1"/>
    <col min="4359" max="4359" width="8.5703125" customWidth="1"/>
    <col min="4360" max="4360" width="8.42578125" customWidth="1"/>
    <col min="4361" max="4361" width="8.140625" customWidth="1"/>
    <col min="4362" max="4362" width="0" hidden="1" customWidth="1"/>
    <col min="4363" max="4363" width="7.42578125" customWidth="1"/>
    <col min="4364" max="4364" width="6.85546875" customWidth="1"/>
    <col min="4365" max="4365" width="7" customWidth="1"/>
    <col min="4366" max="4369" width="0" hidden="1" customWidth="1"/>
    <col min="4370" max="4370" width="8.7109375" customWidth="1"/>
    <col min="4371" max="4371" width="12.85546875" customWidth="1"/>
    <col min="4372" max="4372" width="16.85546875" customWidth="1"/>
    <col min="4610" max="4610" width="3.28515625" customWidth="1"/>
    <col min="4611" max="4611" width="12.85546875" customWidth="1"/>
    <col min="4612" max="4612" width="17" customWidth="1"/>
    <col min="4613" max="4613" width="11.140625" customWidth="1"/>
    <col min="4614" max="4614" width="8.85546875" customWidth="1"/>
    <col min="4615" max="4615" width="8.5703125" customWidth="1"/>
    <col min="4616" max="4616" width="8.42578125" customWidth="1"/>
    <col min="4617" max="4617" width="8.140625" customWidth="1"/>
    <col min="4618" max="4618" width="0" hidden="1" customWidth="1"/>
    <col min="4619" max="4619" width="7.42578125" customWidth="1"/>
    <col min="4620" max="4620" width="6.85546875" customWidth="1"/>
    <col min="4621" max="4621" width="7" customWidth="1"/>
    <col min="4622" max="4625" width="0" hidden="1" customWidth="1"/>
    <col min="4626" max="4626" width="8.7109375" customWidth="1"/>
    <col min="4627" max="4627" width="12.85546875" customWidth="1"/>
    <col min="4628" max="4628" width="16.85546875" customWidth="1"/>
    <col min="4866" max="4866" width="3.28515625" customWidth="1"/>
    <col min="4867" max="4867" width="12.85546875" customWidth="1"/>
    <col min="4868" max="4868" width="17" customWidth="1"/>
    <col min="4869" max="4869" width="11.140625" customWidth="1"/>
    <col min="4870" max="4870" width="8.85546875" customWidth="1"/>
    <col min="4871" max="4871" width="8.5703125" customWidth="1"/>
    <col min="4872" max="4872" width="8.42578125" customWidth="1"/>
    <col min="4873" max="4873" width="8.140625" customWidth="1"/>
    <col min="4874" max="4874" width="0" hidden="1" customWidth="1"/>
    <col min="4875" max="4875" width="7.42578125" customWidth="1"/>
    <col min="4876" max="4876" width="6.85546875" customWidth="1"/>
    <col min="4877" max="4877" width="7" customWidth="1"/>
    <col min="4878" max="4881" width="0" hidden="1" customWidth="1"/>
    <col min="4882" max="4882" width="8.7109375" customWidth="1"/>
    <col min="4883" max="4883" width="12.85546875" customWidth="1"/>
    <col min="4884" max="4884" width="16.85546875" customWidth="1"/>
    <col min="5122" max="5122" width="3.28515625" customWidth="1"/>
    <col min="5123" max="5123" width="12.85546875" customWidth="1"/>
    <col min="5124" max="5124" width="17" customWidth="1"/>
    <col min="5125" max="5125" width="11.140625" customWidth="1"/>
    <col min="5126" max="5126" width="8.85546875" customWidth="1"/>
    <col min="5127" max="5127" width="8.5703125" customWidth="1"/>
    <col min="5128" max="5128" width="8.42578125" customWidth="1"/>
    <col min="5129" max="5129" width="8.140625" customWidth="1"/>
    <col min="5130" max="5130" width="0" hidden="1" customWidth="1"/>
    <col min="5131" max="5131" width="7.42578125" customWidth="1"/>
    <col min="5132" max="5132" width="6.85546875" customWidth="1"/>
    <col min="5133" max="5133" width="7" customWidth="1"/>
    <col min="5134" max="5137" width="0" hidden="1" customWidth="1"/>
    <col min="5138" max="5138" width="8.7109375" customWidth="1"/>
    <col min="5139" max="5139" width="12.85546875" customWidth="1"/>
    <col min="5140" max="5140" width="16.85546875" customWidth="1"/>
    <col min="5378" max="5378" width="3.28515625" customWidth="1"/>
    <col min="5379" max="5379" width="12.85546875" customWidth="1"/>
    <col min="5380" max="5380" width="17" customWidth="1"/>
    <col min="5381" max="5381" width="11.140625" customWidth="1"/>
    <col min="5382" max="5382" width="8.85546875" customWidth="1"/>
    <col min="5383" max="5383" width="8.5703125" customWidth="1"/>
    <col min="5384" max="5384" width="8.42578125" customWidth="1"/>
    <col min="5385" max="5385" width="8.140625" customWidth="1"/>
    <col min="5386" max="5386" width="0" hidden="1" customWidth="1"/>
    <col min="5387" max="5387" width="7.42578125" customWidth="1"/>
    <col min="5388" max="5388" width="6.85546875" customWidth="1"/>
    <col min="5389" max="5389" width="7" customWidth="1"/>
    <col min="5390" max="5393" width="0" hidden="1" customWidth="1"/>
    <col min="5394" max="5394" width="8.7109375" customWidth="1"/>
    <col min="5395" max="5395" width="12.85546875" customWidth="1"/>
    <col min="5396" max="5396" width="16.85546875" customWidth="1"/>
    <col min="5634" max="5634" width="3.28515625" customWidth="1"/>
    <col min="5635" max="5635" width="12.85546875" customWidth="1"/>
    <col min="5636" max="5636" width="17" customWidth="1"/>
    <col min="5637" max="5637" width="11.140625" customWidth="1"/>
    <col min="5638" max="5638" width="8.85546875" customWidth="1"/>
    <col min="5639" max="5639" width="8.5703125" customWidth="1"/>
    <col min="5640" max="5640" width="8.42578125" customWidth="1"/>
    <col min="5641" max="5641" width="8.140625" customWidth="1"/>
    <col min="5642" max="5642" width="0" hidden="1" customWidth="1"/>
    <col min="5643" max="5643" width="7.42578125" customWidth="1"/>
    <col min="5644" max="5644" width="6.85546875" customWidth="1"/>
    <col min="5645" max="5645" width="7" customWidth="1"/>
    <col min="5646" max="5649" width="0" hidden="1" customWidth="1"/>
    <col min="5650" max="5650" width="8.7109375" customWidth="1"/>
    <col min="5651" max="5651" width="12.85546875" customWidth="1"/>
    <col min="5652" max="5652" width="16.85546875" customWidth="1"/>
    <col min="5890" max="5890" width="3.28515625" customWidth="1"/>
    <col min="5891" max="5891" width="12.85546875" customWidth="1"/>
    <col min="5892" max="5892" width="17" customWidth="1"/>
    <col min="5893" max="5893" width="11.140625" customWidth="1"/>
    <col min="5894" max="5894" width="8.85546875" customWidth="1"/>
    <col min="5895" max="5895" width="8.5703125" customWidth="1"/>
    <col min="5896" max="5896" width="8.42578125" customWidth="1"/>
    <col min="5897" max="5897" width="8.140625" customWidth="1"/>
    <col min="5898" max="5898" width="0" hidden="1" customWidth="1"/>
    <col min="5899" max="5899" width="7.42578125" customWidth="1"/>
    <col min="5900" max="5900" width="6.85546875" customWidth="1"/>
    <col min="5901" max="5901" width="7" customWidth="1"/>
    <col min="5902" max="5905" width="0" hidden="1" customWidth="1"/>
    <col min="5906" max="5906" width="8.7109375" customWidth="1"/>
    <col min="5907" max="5907" width="12.85546875" customWidth="1"/>
    <col min="5908" max="5908" width="16.85546875" customWidth="1"/>
    <col min="6146" max="6146" width="3.28515625" customWidth="1"/>
    <col min="6147" max="6147" width="12.85546875" customWidth="1"/>
    <col min="6148" max="6148" width="17" customWidth="1"/>
    <col min="6149" max="6149" width="11.140625" customWidth="1"/>
    <col min="6150" max="6150" width="8.85546875" customWidth="1"/>
    <col min="6151" max="6151" width="8.5703125" customWidth="1"/>
    <col min="6152" max="6152" width="8.42578125" customWidth="1"/>
    <col min="6153" max="6153" width="8.140625" customWidth="1"/>
    <col min="6154" max="6154" width="0" hidden="1" customWidth="1"/>
    <col min="6155" max="6155" width="7.42578125" customWidth="1"/>
    <col min="6156" max="6156" width="6.85546875" customWidth="1"/>
    <col min="6157" max="6157" width="7" customWidth="1"/>
    <col min="6158" max="6161" width="0" hidden="1" customWidth="1"/>
    <col min="6162" max="6162" width="8.7109375" customWidth="1"/>
    <col min="6163" max="6163" width="12.85546875" customWidth="1"/>
    <col min="6164" max="6164" width="16.85546875" customWidth="1"/>
    <col min="6402" max="6402" width="3.28515625" customWidth="1"/>
    <col min="6403" max="6403" width="12.85546875" customWidth="1"/>
    <col min="6404" max="6404" width="17" customWidth="1"/>
    <col min="6405" max="6405" width="11.140625" customWidth="1"/>
    <col min="6406" max="6406" width="8.85546875" customWidth="1"/>
    <col min="6407" max="6407" width="8.5703125" customWidth="1"/>
    <col min="6408" max="6408" width="8.42578125" customWidth="1"/>
    <col min="6409" max="6409" width="8.140625" customWidth="1"/>
    <col min="6410" max="6410" width="0" hidden="1" customWidth="1"/>
    <col min="6411" max="6411" width="7.42578125" customWidth="1"/>
    <col min="6412" max="6412" width="6.85546875" customWidth="1"/>
    <col min="6413" max="6413" width="7" customWidth="1"/>
    <col min="6414" max="6417" width="0" hidden="1" customWidth="1"/>
    <col min="6418" max="6418" width="8.7109375" customWidth="1"/>
    <col min="6419" max="6419" width="12.85546875" customWidth="1"/>
    <col min="6420" max="6420" width="16.85546875" customWidth="1"/>
    <col min="6658" max="6658" width="3.28515625" customWidth="1"/>
    <col min="6659" max="6659" width="12.85546875" customWidth="1"/>
    <col min="6660" max="6660" width="17" customWidth="1"/>
    <col min="6661" max="6661" width="11.140625" customWidth="1"/>
    <col min="6662" max="6662" width="8.85546875" customWidth="1"/>
    <col min="6663" max="6663" width="8.5703125" customWidth="1"/>
    <col min="6664" max="6664" width="8.42578125" customWidth="1"/>
    <col min="6665" max="6665" width="8.140625" customWidth="1"/>
    <col min="6666" max="6666" width="0" hidden="1" customWidth="1"/>
    <col min="6667" max="6667" width="7.42578125" customWidth="1"/>
    <col min="6668" max="6668" width="6.85546875" customWidth="1"/>
    <col min="6669" max="6669" width="7" customWidth="1"/>
    <col min="6670" max="6673" width="0" hidden="1" customWidth="1"/>
    <col min="6674" max="6674" width="8.7109375" customWidth="1"/>
    <col min="6675" max="6675" width="12.85546875" customWidth="1"/>
    <col min="6676" max="6676" width="16.85546875" customWidth="1"/>
    <col min="6914" max="6914" width="3.28515625" customWidth="1"/>
    <col min="6915" max="6915" width="12.85546875" customWidth="1"/>
    <col min="6916" max="6916" width="17" customWidth="1"/>
    <col min="6917" max="6917" width="11.140625" customWidth="1"/>
    <col min="6918" max="6918" width="8.85546875" customWidth="1"/>
    <col min="6919" max="6919" width="8.5703125" customWidth="1"/>
    <col min="6920" max="6920" width="8.42578125" customWidth="1"/>
    <col min="6921" max="6921" width="8.140625" customWidth="1"/>
    <col min="6922" max="6922" width="0" hidden="1" customWidth="1"/>
    <col min="6923" max="6923" width="7.42578125" customWidth="1"/>
    <col min="6924" max="6924" width="6.85546875" customWidth="1"/>
    <col min="6925" max="6925" width="7" customWidth="1"/>
    <col min="6926" max="6929" width="0" hidden="1" customWidth="1"/>
    <col min="6930" max="6930" width="8.7109375" customWidth="1"/>
    <col min="6931" max="6931" width="12.85546875" customWidth="1"/>
    <col min="6932" max="6932" width="16.85546875" customWidth="1"/>
    <col min="7170" max="7170" width="3.28515625" customWidth="1"/>
    <col min="7171" max="7171" width="12.85546875" customWidth="1"/>
    <col min="7172" max="7172" width="17" customWidth="1"/>
    <col min="7173" max="7173" width="11.140625" customWidth="1"/>
    <col min="7174" max="7174" width="8.85546875" customWidth="1"/>
    <col min="7175" max="7175" width="8.5703125" customWidth="1"/>
    <col min="7176" max="7176" width="8.42578125" customWidth="1"/>
    <col min="7177" max="7177" width="8.140625" customWidth="1"/>
    <col min="7178" max="7178" width="0" hidden="1" customWidth="1"/>
    <col min="7179" max="7179" width="7.42578125" customWidth="1"/>
    <col min="7180" max="7180" width="6.85546875" customWidth="1"/>
    <col min="7181" max="7181" width="7" customWidth="1"/>
    <col min="7182" max="7185" width="0" hidden="1" customWidth="1"/>
    <col min="7186" max="7186" width="8.7109375" customWidth="1"/>
    <col min="7187" max="7187" width="12.85546875" customWidth="1"/>
    <col min="7188" max="7188" width="16.85546875" customWidth="1"/>
    <col min="7426" max="7426" width="3.28515625" customWidth="1"/>
    <col min="7427" max="7427" width="12.85546875" customWidth="1"/>
    <col min="7428" max="7428" width="17" customWidth="1"/>
    <col min="7429" max="7429" width="11.140625" customWidth="1"/>
    <col min="7430" max="7430" width="8.85546875" customWidth="1"/>
    <col min="7431" max="7431" width="8.5703125" customWidth="1"/>
    <col min="7432" max="7432" width="8.42578125" customWidth="1"/>
    <col min="7433" max="7433" width="8.140625" customWidth="1"/>
    <col min="7434" max="7434" width="0" hidden="1" customWidth="1"/>
    <col min="7435" max="7435" width="7.42578125" customWidth="1"/>
    <col min="7436" max="7436" width="6.85546875" customWidth="1"/>
    <col min="7437" max="7437" width="7" customWidth="1"/>
    <col min="7438" max="7441" width="0" hidden="1" customWidth="1"/>
    <col min="7442" max="7442" width="8.7109375" customWidth="1"/>
    <col min="7443" max="7443" width="12.85546875" customWidth="1"/>
    <col min="7444" max="7444" width="16.85546875" customWidth="1"/>
    <col min="7682" max="7682" width="3.28515625" customWidth="1"/>
    <col min="7683" max="7683" width="12.85546875" customWidth="1"/>
    <col min="7684" max="7684" width="17" customWidth="1"/>
    <col min="7685" max="7685" width="11.140625" customWidth="1"/>
    <col min="7686" max="7686" width="8.85546875" customWidth="1"/>
    <col min="7687" max="7687" width="8.5703125" customWidth="1"/>
    <col min="7688" max="7688" width="8.42578125" customWidth="1"/>
    <col min="7689" max="7689" width="8.140625" customWidth="1"/>
    <col min="7690" max="7690" width="0" hidden="1" customWidth="1"/>
    <col min="7691" max="7691" width="7.42578125" customWidth="1"/>
    <col min="7692" max="7692" width="6.85546875" customWidth="1"/>
    <col min="7693" max="7693" width="7" customWidth="1"/>
    <col min="7694" max="7697" width="0" hidden="1" customWidth="1"/>
    <col min="7698" max="7698" width="8.7109375" customWidth="1"/>
    <col min="7699" max="7699" width="12.85546875" customWidth="1"/>
    <col min="7700" max="7700" width="16.85546875" customWidth="1"/>
    <col min="7938" max="7938" width="3.28515625" customWidth="1"/>
    <col min="7939" max="7939" width="12.85546875" customWidth="1"/>
    <col min="7940" max="7940" width="17" customWidth="1"/>
    <col min="7941" max="7941" width="11.140625" customWidth="1"/>
    <col min="7942" max="7942" width="8.85546875" customWidth="1"/>
    <col min="7943" max="7943" width="8.5703125" customWidth="1"/>
    <col min="7944" max="7944" width="8.42578125" customWidth="1"/>
    <col min="7945" max="7945" width="8.140625" customWidth="1"/>
    <col min="7946" max="7946" width="0" hidden="1" customWidth="1"/>
    <col min="7947" max="7947" width="7.42578125" customWidth="1"/>
    <col min="7948" max="7948" width="6.85546875" customWidth="1"/>
    <col min="7949" max="7949" width="7" customWidth="1"/>
    <col min="7950" max="7953" width="0" hidden="1" customWidth="1"/>
    <col min="7954" max="7954" width="8.7109375" customWidth="1"/>
    <col min="7955" max="7955" width="12.85546875" customWidth="1"/>
    <col min="7956" max="7956" width="16.85546875" customWidth="1"/>
    <col min="8194" max="8194" width="3.28515625" customWidth="1"/>
    <col min="8195" max="8195" width="12.85546875" customWidth="1"/>
    <col min="8196" max="8196" width="17" customWidth="1"/>
    <col min="8197" max="8197" width="11.140625" customWidth="1"/>
    <col min="8198" max="8198" width="8.85546875" customWidth="1"/>
    <col min="8199" max="8199" width="8.5703125" customWidth="1"/>
    <col min="8200" max="8200" width="8.42578125" customWidth="1"/>
    <col min="8201" max="8201" width="8.140625" customWidth="1"/>
    <col min="8202" max="8202" width="0" hidden="1" customWidth="1"/>
    <col min="8203" max="8203" width="7.42578125" customWidth="1"/>
    <col min="8204" max="8204" width="6.85546875" customWidth="1"/>
    <col min="8205" max="8205" width="7" customWidth="1"/>
    <col min="8206" max="8209" width="0" hidden="1" customWidth="1"/>
    <col min="8210" max="8210" width="8.7109375" customWidth="1"/>
    <col min="8211" max="8211" width="12.85546875" customWidth="1"/>
    <col min="8212" max="8212" width="16.85546875" customWidth="1"/>
    <col min="8450" max="8450" width="3.28515625" customWidth="1"/>
    <col min="8451" max="8451" width="12.85546875" customWidth="1"/>
    <col min="8452" max="8452" width="17" customWidth="1"/>
    <col min="8453" max="8453" width="11.140625" customWidth="1"/>
    <col min="8454" max="8454" width="8.85546875" customWidth="1"/>
    <col min="8455" max="8455" width="8.5703125" customWidth="1"/>
    <col min="8456" max="8456" width="8.42578125" customWidth="1"/>
    <col min="8457" max="8457" width="8.140625" customWidth="1"/>
    <col min="8458" max="8458" width="0" hidden="1" customWidth="1"/>
    <col min="8459" max="8459" width="7.42578125" customWidth="1"/>
    <col min="8460" max="8460" width="6.85546875" customWidth="1"/>
    <col min="8461" max="8461" width="7" customWidth="1"/>
    <col min="8462" max="8465" width="0" hidden="1" customWidth="1"/>
    <col min="8466" max="8466" width="8.7109375" customWidth="1"/>
    <col min="8467" max="8467" width="12.85546875" customWidth="1"/>
    <col min="8468" max="8468" width="16.85546875" customWidth="1"/>
    <col min="8706" max="8706" width="3.28515625" customWidth="1"/>
    <col min="8707" max="8707" width="12.85546875" customWidth="1"/>
    <col min="8708" max="8708" width="17" customWidth="1"/>
    <col min="8709" max="8709" width="11.140625" customWidth="1"/>
    <col min="8710" max="8710" width="8.85546875" customWidth="1"/>
    <col min="8711" max="8711" width="8.5703125" customWidth="1"/>
    <col min="8712" max="8712" width="8.42578125" customWidth="1"/>
    <col min="8713" max="8713" width="8.140625" customWidth="1"/>
    <col min="8714" max="8714" width="0" hidden="1" customWidth="1"/>
    <col min="8715" max="8715" width="7.42578125" customWidth="1"/>
    <col min="8716" max="8716" width="6.85546875" customWidth="1"/>
    <col min="8717" max="8717" width="7" customWidth="1"/>
    <col min="8718" max="8721" width="0" hidden="1" customWidth="1"/>
    <col min="8722" max="8722" width="8.7109375" customWidth="1"/>
    <col min="8723" max="8723" width="12.85546875" customWidth="1"/>
    <col min="8724" max="8724" width="16.85546875" customWidth="1"/>
    <col min="8962" max="8962" width="3.28515625" customWidth="1"/>
    <col min="8963" max="8963" width="12.85546875" customWidth="1"/>
    <col min="8964" max="8964" width="17" customWidth="1"/>
    <col min="8965" max="8965" width="11.140625" customWidth="1"/>
    <col min="8966" max="8966" width="8.85546875" customWidth="1"/>
    <col min="8967" max="8967" width="8.5703125" customWidth="1"/>
    <col min="8968" max="8968" width="8.42578125" customWidth="1"/>
    <col min="8969" max="8969" width="8.140625" customWidth="1"/>
    <col min="8970" max="8970" width="0" hidden="1" customWidth="1"/>
    <col min="8971" max="8971" width="7.42578125" customWidth="1"/>
    <col min="8972" max="8972" width="6.85546875" customWidth="1"/>
    <col min="8973" max="8973" width="7" customWidth="1"/>
    <col min="8974" max="8977" width="0" hidden="1" customWidth="1"/>
    <col min="8978" max="8978" width="8.7109375" customWidth="1"/>
    <col min="8979" max="8979" width="12.85546875" customWidth="1"/>
    <col min="8980" max="8980" width="16.85546875" customWidth="1"/>
    <col min="9218" max="9218" width="3.28515625" customWidth="1"/>
    <col min="9219" max="9219" width="12.85546875" customWidth="1"/>
    <col min="9220" max="9220" width="17" customWidth="1"/>
    <col min="9221" max="9221" width="11.140625" customWidth="1"/>
    <col min="9222" max="9222" width="8.85546875" customWidth="1"/>
    <col min="9223" max="9223" width="8.5703125" customWidth="1"/>
    <col min="9224" max="9224" width="8.42578125" customWidth="1"/>
    <col min="9225" max="9225" width="8.140625" customWidth="1"/>
    <col min="9226" max="9226" width="0" hidden="1" customWidth="1"/>
    <col min="9227" max="9227" width="7.42578125" customWidth="1"/>
    <col min="9228" max="9228" width="6.85546875" customWidth="1"/>
    <col min="9229" max="9229" width="7" customWidth="1"/>
    <col min="9230" max="9233" width="0" hidden="1" customWidth="1"/>
    <col min="9234" max="9234" width="8.7109375" customWidth="1"/>
    <col min="9235" max="9235" width="12.85546875" customWidth="1"/>
    <col min="9236" max="9236" width="16.85546875" customWidth="1"/>
    <col min="9474" max="9474" width="3.28515625" customWidth="1"/>
    <col min="9475" max="9475" width="12.85546875" customWidth="1"/>
    <col min="9476" max="9476" width="17" customWidth="1"/>
    <col min="9477" max="9477" width="11.140625" customWidth="1"/>
    <col min="9478" max="9478" width="8.85546875" customWidth="1"/>
    <col min="9479" max="9479" width="8.5703125" customWidth="1"/>
    <col min="9480" max="9480" width="8.42578125" customWidth="1"/>
    <col min="9481" max="9481" width="8.140625" customWidth="1"/>
    <col min="9482" max="9482" width="0" hidden="1" customWidth="1"/>
    <col min="9483" max="9483" width="7.42578125" customWidth="1"/>
    <col min="9484" max="9484" width="6.85546875" customWidth="1"/>
    <col min="9485" max="9485" width="7" customWidth="1"/>
    <col min="9486" max="9489" width="0" hidden="1" customWidth="1"/>
    <col min="9490" max="9490" width="8.7109375" customWidth="1"/>
    <col min="9491" max="9491" width="12.85546875" customWidth="1"/>
    <col min="9492" max="9492" width="16.85546875" customWidth="1"/>
    <col min="9730" max="9730" width="3.28515625" customWidth="1"/>
    <col min="9731" max="9731" width="12.85546875" customWidth="1"/>
    <col min="9732" max="9732" width="17" customWidth="1"/>
    <col min="9733" max="9733" width="11.140625" customWidth="1"/>
    <col min="9734" max="9734" width="8.85546875" customWidth="1"/>
    <col min="9735" max="9735" width="8.5703125" customWidth="1"/>
    <col min="9736" max="9736" width="8.42578125" customWidth="1"/>
    <col min="9737" max="9737" width="8.140625" customWidth="1"/>
    <col min="9738" max="9738" width="0" hidden="1" customWidth="1"/>
    <col min="9739" max="9739" width="7.42578125" customWidth="1"/>
    <col min="9740" max="9740" width="6.85546875" customWidth="1"/>
    <col min="9741" max="9741" width="7" customWidth="1"/>
    <col min="9742" max="9745" width="0" hidden="1" customWidth="1"/>
    <col min="9746" max="9746" width="8.7109375" customWidth="1"/>
    <col min="9747" max="9747" width="12.85546875" customWidth="1"/>
    <col min="9748" max="9748" width="16.85546875" customWidth="1"/>
    <col min="9986" max="9986" width="3.28515625" customWidth="1"/>
    <col min="9987" max="9987" width="12.85546875" customWidth="1"/>
    <col min="9988" max="9988" width="17" customWidth="1"/>
    <col min="9989" max="9989" width="11.140625" customWidth="1"/>
    <col min="9990" max="9990" width="8.85546875" customWidth="1"/>
    <col min="9991" max="9991" width="8.5703125" customWidth="1"/>
    <col min="9992" max="9992" width="8.42578125" customWidth="1"/>
    <col min="9993" max="9993" width="8.140625" customWidth="1"/>
    <col min="9994" max="9994" width="0" hidden="1" customWidth="1"/>
    <col min="9995" max="9995" width="7.42578125" customWidth="1"/>
    <col min="9996" max="9996" width="6.85546875" customWidth="1"/>
    <col min="9997" max="9997" width="7" customWidth="1"/>
    <col min="9998" max="10001" width="0" hidden="1" customWidth="1"/>
    <col min="10002" max="10002" width="8.7109375" customWidth="1"/>
    <col min="10003" max="10003" width="12.85546875" customWidth="1"/>
    <col min="10004" max="10004" width="16.85546875" customWidth="1"/>
    <col min="10242" max="10242" width="3.28515625" customWidth="1"/>
    <col min="10243" max="10243" width="12.85546875" customWidth="1"/>
    <col min="10244" max="10244" width="17" customWidth="1"/>
    <col min="10245" max="10245" width="11.140625" customWidth="1"/>
    <col min="10246" max="10246" width="8.85546875" customWidth="1"/>
    <col min="10247" max="10247" width="8.5703125" customWidth="1"/>
    <col min="10248" max="10248" width="8.42578125" customWidth="1"/>
    <col min="10249" max="10249" width="8.140625" customWidth="1"/>
    <col min="10250" max="10250" width="0" hidden="1" customWidth="1"/>
    <col min="10251" max="10251" width="7.42578125" customWidth="1"/>
    <col min="10252" max="10252" width="6.85546875" customWidth="1"/>
    <col min="10253" max="10253" width="7" customWidth="1"/>
    <col min="10254" max="10257" width="0" hidden="1" customWidth="1"/>
    <col min="10258" max="10258" width="8.7109375" customWidth="1"/>
    <col min="10259" max="10259" width="12.85546875" customWidth="1"/>
    <col min="10260" max="10260" width="16.85546875" customWidth="1"/>
    <col min="10498" max="10498" width="3.28515625" customWidth="1"/>
    <col min="10499" max="10499" width="12.85546875" customWidth="1"/>
    <col min="10500" max="10500" width="17" customWidth="1"/>
    <col min="10501" max="10501" width="11.140625" customWidth="1"/>
    <col min="10502" max="10502" width="8.85546875" customWidth="1"/>
    <col min="10503" max="10503" width="8.5703125" customWidth="1"/>
    <col min="10504" max="10504" width="8.42578125" customWidth="1"/>
    <col min="10505" max="10505" width="8.140625" customWidth="1"/>
    <col min="10506" max="10506" width="0" hidden="1" customWidth="1"/>
    <col min="10507" max="10507" width="7.42578125" customWidth="1"/>
    <col min="10508" max="10508" width="6.85546875" customWidth="1"/>
    <col min="10509" max="10509" width="7" customWidth="1"/>
    <col min="10510" max="10513" width="0" hidden="1" customWidth="1"/>
    <col min="10514" max="10514" width="8.7109375" customWidth="1"/>
    <col min="10515" max="10515" width="12.85546875" customWidth="1"/>
    <col min="10516" max="10516" width="16.85546875" customWidth="1"/>
    <col min="10754" max="10754" width="3.28515625" customWidth="1"/>
    <col min="10755" max="10755" width="12.85546875" customWidth="1"/>
    <col min="10756" max="10756" width="17" customWidth="1"/>
    <col min="10757" max="10757" width="11.140625" customWidth="1"/>
    <col min="10758" max="10758" width="8.85546875" customWidth="1"/>
    <col min="10759" max="10759" width="8.5703125" customWidth="1"/>
    <col min="10760" max="10760" width="8.42578125" customWidth="1"/>
    <col min="10761" max="10761" width="8.140625" customWidth="1"/>
    <col min="10762" max="10762" width="0" hidden="1" customWidth="1"/>
    <col min="10763" max="10763" width="7.42578125" customWidth="1"/>
    <col min="10764" max="10764" width="6.85546875" customWidth="1"/>
    <col min="10765" max="10765" width="7" customWidth="1"/>
    <col min="10766" max="10769" width="0" hidden="1" customWidth="1"/>
    <col min="10770" max="10770" width="8.7109375" customWidth="1"/>
    <col min="10771" max="10771" width="12.85546875" customWidth="1"/>
    <col min="10772" max="10772" width="16.85546875" customWidth="1"/>
    <col min="11010" max="11010" width="3.28515625" customWidth="1"/>
    <col min="11011" max="11011" width="12.85546875" customWidth="1"/>
    <col min="11012" max="11012" width="17" customWidth="1"/>
    <col min="11013" max="11013" width="11.140625" customWidth="1"/>
    <col min="11014" max="11014" width="8.85546875" customWidth="1"/>
    <col min="11015" max="11015" width="8.5703125" customWidth="1"/>
    <col min="11016" max="11016" width="8.42578125" customWidth="1"/>
    <col min="11017" max="11017" width="8.140625" customWidth="1"/>
    <col min="11018" max="11018" width="0" hidden="1" customWidth="1"/>
    <col min="11019" max="11019" width="7.42578125" customWidth="1"/>
    <col min="11020" max="11020" width="6.85546875" customWidth="1"/>
    <col min="11021" max="11021" width="7" customWidth="1"/>
    <col min="11022" max="11025" width="0" hidden="1" customWidth="1"/>
    <col min="11026" max="11026" width="8.7109375" customWidth="1"/>
    <col min="11027" max="11027" width="12.85546875" customWidth="1"/>
    <col min="11028" max="11028" width="16.85546875" customWidth="1"/>
    <col min="11266" max="11266" width="3.28515625" customWidth="1"/>
    <col min="11267" max="11267" width="12.85546875" customWidth="1"/>
    <col min="11268" max="11268" width="17" customWidth="1"/>
    <col min="11269" max="11269" width="11.140625" customWidth="1"/>
    <col min="11270" max="11270" width="8.85546875" customWidth="1"/>
    <col min="11271" max="11271" width="8.5703125" customWidth="1"/>
    <col min="11272" max="11272" width="8.42578125" customWidth="1"/>
    <col min="11273" max="11273" width="8.140625" customWidth="1"/>
    <col min="11274" max="11274" width="0" hidden="1" customWidth="1"/>
    <col min="11275" max="11275" width="7.42578125" customWidth="1"/>
    <col min="11276" max="11276" width="6.85546875" customWidth="1"/>
    <col min="11277" max="11277" width="7" customWidth="1"/>
    <col min="11278" max="11281" width="0" hidden="1" customWidth="1"/>
    <col min="11282" max="11282" width="8.7109375" customWidth="1"/>
    <col min="11283" max="11283" width="12.85546875" customWidth="1"/>
    <col min="11284" max="11284" width="16.85546875" customWidth="1"/>
    <col min="11522" max="11522" width="3.28515625" customWidth="1"/>
    <col min="11523" max="11523" width="12.85546875" customWidth="1"/>
    <col min="11524" max="11524" width="17" customWidth="1"/>
    <col min="11525" max="11525" width="11.140625" customWidth="1"/>
    <col min="11526" max="11526" width="8.85546875" customWidth="1"/>
    <col min="11527" max="11527" width="8.5703125" customWidth="1"/>
    <col min="11528" max="11528" width="8.42578125" customWidth="1"/>
    <col min="11529" max="11529" width="8.140625" customWidth="1"/>
    <col min="11530" max="11530" width="0" hidden="1" customWidth="1"/>
    <col min="11531" max="11531" width="7.42578125" customWidth="1"/>
    <col min="11532" max="11532" width="6.85546875" customWidth="1"/>
    <col min="11533" max="11533" width="7" customWidth="1"/>
    <col min="11534" max="11537" width="0" hidden="1" customWidth="1"/>
    <col min="11538" max="11538" width="8.7109375" customWidth="1"/>
    <col min="11539" max="11539" width="12.85546875" customWidth="1"/>
    <col min="11540" max="11540" width="16.85546875" customWidth="1"/>
    <col min="11778" max="11778" width="3.28515625" customWidth="1"/>
    <col min="11779" max="11779" width="12.85546875" customWidth="1"/>
    <col min="11780" max="11780" width="17" customWidth="1"/>
    <col min="11781" max="11781" width="11.140625" customWidth="1"/>
    <col min="11782" max="11782" width="8.85546875" customWidth="1"/>
    <col min="11783" max="11783" width="8.5703125" customWidth="1"/>
    <col min="11784" max="11784" width="8.42578125" customWidth="1"/>
    <col min="11785" max="11785" width="8.140625" customWidth="1"/>
    <col min="11786" max="11786" width="0" hidden="1" customWidth="1"/>
    <col min="11787" max="11787" width="7.42578125" customWidth="1"/>
    <col min="11788" max="11788" width="6.85546875" customWidth="1"/>
    <col min="11789" max="11789" width="7" customWidth="1"/>
    <col min="11790" max="11793" width="0" hidden="1" customWidth="1"/>
    <col min="11794" max="11794" width="8.7109375" customWidth="1"/>
    <col min="11795" max="11795" width="12.85546875" customWidth="1"/>
    <col min="11796" max="11796" width="16.85546875" customWidth="1"/>
    <col min="12034" max="12034" width="3.28515625" customWidth="1"/>
    <col min="12035" max="12035" width="12.85546875" customWidth="1"/>
    <col min="12036" max="12036" width="17" customWidth="1"/>
    <col min="12037" max="12037" width="11.140625" customWidth="1"/>
    <col min="12038" max="12038" width="8.85546875" customWidth="1"/>
    <col min="12039" max="12039" width="8.5703125" customWidth="1"/>
    <col min="12040" max="12040" width="8.42578125" customWidth="1"/>
    <col min="12041" max="12041" width="8.140625" customWidth="1"/>
    <col min="12042" max="12042" width="0" hidden="1" customWidth="1"/>
    <col min="12043" max="12043" width="7.42578125" customWidth="1"/>
    <col min="12044" max="12044" width="6.85546875" customWidth="1"/>
    <col min="12045" max="12045" width="7" customWidth="1"/>
    <col min="12046" max="12049" width="0" hidden="1" customWidth="1"/>
    <col min="12050" max="12050" width="8.7109375" customWidth="1"/>
    <col min="12051" max="12051" width="12.85546875" customWidth="1"/>
    <col min="12052" max="12052" width="16.85546875" customWidth="1"/>
    <col min="12290" max="12290" width="3.28515625" customWidth="1"/>
    <col min="12291" max="12291" width="12.85546875" customWidth="1"/>
    <col min="12292" max="12292" width="17" customWidth="1"/>
    <col min="12293" max="12293" width="11.140625" customWidth="1"/>
    <col min="12294" max="12294" width="8.85546875" customWidth="1"/>
    <col min="12295" max="12295" width="8.5703125" customWidth="1"/>
    <col min="12296" max="12296" width="8.42578125" customWidth="1"/>
    <col min="12297" max="12297" width="8.140625" customWidth="1"/>
    <col min="12298" max="12298" width="0" hidden="1" customWidth="1"/>
    <col min="12299" max="12299" width="7.42578125" customWidth="1"/>
    <col min="12300" max="12300" width="6.85546875" customWidth="1"/>
    <col min="12301" max="12301" width="7" customWidth="1"/>
    <col min="12302" max="12305" width="0" hidden="1" customWidth="1"/>
    <col min="12306" max="12306" width="8.7109375" customWidth="1"/>
    <col min="12307" max="12307" width="12.85546875" customWidth="1"/>
    <col min="12308" max="12308" width="16.85546875" customWidth="1"/>
    <col min="12546" max="12546" width="3.28515625" customWidth="1"/>
    <col min="12547" max="12547" width="12.85546875" customWidth="1"/>
    <col min="12548" max="12548" width="17" customWidth="1"/>
    <col min="12549" max="12549" width="11.140625" customWidth="1"/>
    <col min="12550" max="12550" width="8.85546875" customWidth="1"/>
    <col min="12551" max="12551" width="8.5703125" customWidth="1"/>
    <col min="12552" max="12552" width="8.42578125" customWidth="1"/>
    <col min="12553" max="12553" width="8.140625" customWidth="1"/>
    <col min="12554" max="12554" width="0" hidden="1" customWidth="1"/>
    <col min="12555" max="12555" width="7.42578125" customWidth="1"/>
    <col min="12556" max="12556" width="6.85546875" customWidth="1"/>
    <col min="12557" max="12557" width="7" customWidth="1"/>
    <col min="12558" max="12561" width="0" hidden="1" customWidth="1"/>
    <col min="12562" max="12562" width="8.7109375" customWidth="1"/>
    <col min="12563" max="12563" width="12.85546875" customWidth="1"/>
    <col min="12564" max="12564" width="16.85546875" customWidth="1"/>
    <col min="12802" max="12802" width="3.28515625" customWidth="1"/>
    <col min="12803" max="12803" width="12.85546875" customWidth="1"/>
    <col min="12804" max="12804" width="17" customWidth="1"/>
    <col min="12805" max="12805" width="11.140625" customWidth="1"/>
    <col min="12806" max="12806" width="8.85546875" customWidth="1"/>
    <col min="12807" max="12807" width="8.5703125" customWidth="1"/>
    <col min="12808" max="12808" width="8.42578125" customWidth="1"/>
    <col min="12809" max="12809" width="8.140625" customWidth="1"/>
    <col min="12810" max="12810" width="0" hidden="1" customWidth="1"/>
    <col min="12811" max="12811" width="7.42578125" customWidth="1"/>
    <col min="12812" max="12812" width="6.85546875" customWidth="1"/>
    <col min="12813" max="12813" width="7" customWidth="1"/>
    <col min="12814" max="12817" width="0" hidden="1" customWidth="1"/>
    <col min="12818" max="12818" width="8.7109375" customWidth="1"/>
    <col min="12819" max="12819" width="12.85546875" customWidth="1"/>
    <col min="12820" max="12820" width="16.85546875" customWidth="1"/>
    <col min="13058" max="13058" width="3.28515625" customWidth="1"/>
    <col min="13059" max="13059" width="12.85546875" customWidth="1"/>
    <col min="13060" max="13060" width="17" customWidth="1"/>
    <col min="13061" max="13061" width="11.140625" customWidth="1"/>
    <col min="13062" max="13062" width="8.85546875" customWidth="1"/>
    <col min="13063" max="13063" width="8.5703125" customWidth="1"/>
    <col min="13064" max="13064" width="8.42578125" customWidth="1"/>
    <col min="13065" max="13065" width="8.140625" customWidth="1"/>
    <col min="13066" max="13066" width="0" hidden="1" customWidth="1"/>
    <col min="13067" max="13067" width="7.42578125" customWidth="1"/>
    <col min="13068" max="13068" width="6.85546875" customWidth="1"/>
    <col min="13069" max="13069" width="7" customWidth="1"/>
    <col min="13070" max="13073" width="0" hidden="1" customWidth="1"/>
    <col min="13074" max="13074" width="8.7109375" customWidth="1"/>
    <col min="13075" max="13075" width="12.85546875" customWidth="1"/>
    <col min="13076" max="13076" width="16.85546875" customWidth="1"/>
    <col min="13314" max="13314" width="3.28515625" customWidth="1"/>
    <col min="13315" max="13315" width="12.85546875" customWidth="1"/>
    <col min="13316" max="13316" width="17" customWidth="1"/>
    <col min="13317" max="13317" width="11.140625" customWidth="1"/>
    <col min="13318" max="13318" width="8.85546875" customWidth="1"/>
    <col min="13319" max="13319" width="8.5703125" customWidth="1"/>
    <col min="13320" max="13320" width="8.42578125" customWidth="1"/>
    <col min="13321" max="13321" width="8.140625" customWidth="1"/>
    <col min="13322" max="13322" width="0" hidden="1" customWidth="1"/>
    <col min="13323" max="13323" width="7.42578125" customWidth="1"/>
    <col min="13324" max="13324" width="6.85546875" customWidth="1"/>
    <col min="13325" max="13325" width="7" customWidth="1"/>
    <col min="13326" max="13329" width="0" hidden="1" customWidth="1"/>
    <col min="13330" max="13330" width="8.7109375" customWidth="1"/>
    <col min="13331" max="13331" width="12.85546875" customWidth="1"/>
    <col min="13332" max="13332" width="16.85546875" customWidth="1"/>
    <col min="13570" max="13570" width="3.28515625" customWidth="1"/>
    <col min="13571" max="13571" width="12.85546875" customWidth="1"/>
    <col min="13572" max="13572" width="17" customWidth="1"/>
    <col min="13573" max="13573" width="11.140625" customWidth="1"/>
    <col min="13574" max="13574" width="8.85546875" customWidth="1"/>
    <col min="13575" max="13575" width="8.5703125" customWidth="1"/>
    <col min="13576" max="13576" width="8.42578125" customWidth="1"/>
    <col min="13577" max="13577" width="8.140625" customWidth="1"/>
    <col min="13578" max="13578" width="0" hidden="1" customWidth="1"/>
    <col min="13579" max="13579" width="7.42578125" customWidth="1"/>
    <col min="13580" max="13580" width="6.85546875" customWidth="1"/>
    <col min="13581" max="13581" width="7" customWidth="1"/>
    <col min="13582" max="13585" width="0" hidden="1" customWidth="1"/>
    <col min="13586" max="13586" width="8.7109375" customWidth="1"/>
    <col min="13587" max="13587" width="12.85546875" customWidth="1"/>
    <col min="13588" max="13588" width="16.85546875" customWidth="1"/>
    <col min="13826" max="13826" width="3.28515625" customWidth="1"/>
    <col min="13827" max="13827" width="12.85546875" customWidth="1"/>
    <col min="13828" max="13828" width="17" customWidth="1"/>
    <col min="13829" max="13829" width="11.140625" customWidth="1"/>
    <col min="13830" max="13830" width="8.85546875" customWidth="1"/>
    <col min="13831" max="13831" width="8.5703125" customWidth="1"/>
    <col min="13832" max="13832" width="8.42578125" customWidth="1"/>
    <col min="13833" max="13833" width="8.140625" customWidth="1"/>
    <col min="13834" max="13834" width="0" hidden="1" customWidth="1"/>
    <col min="13835" max="13835" width="7.42578125" customWidth="1"/>
    <col min="13836" max="13836" width="6.85546875" customWidth="1"/>
    <col min="13837" max="13837" width="7" customWidth="1"/>
    <col min="13838" max="13841" width="0" hidden="1" customWidth="1"/>
    <col min="13842" max="13842" width="8.7109375" customWidth="1"/>
    <col min="13843" max="13843" width="12.85546875" customWidth="1"/>
    <col min="13844" max="13844" width="16.85546875" customWidth="1"/>
    <col min="14082" max="14082" width="3.28515625" customWidth="1"/>
    <col min="14083" max="14083" width="12.85546875" customWidth="1"/>
    <col min="14084" max="14084" width="17" customWidth="1"/>
    <col min="14085" max="14085" width="11.140625" customWidth="1"/>
    <col min="14086" max="14086" width="8.85546875" customWidth="1"/>
    <col min="14087" max="14087" width="8.5703125" customWidth="1"/>
    <col min="14088" max="14088" width="8.42578125" customWidth="1"/>
    <col min="14089" max="14089" width="8.140625" customWidth="1"/>
    <col min="14090" max="14090" width="0" hidden="1" customWidth="1"/>
    <col min="14091" max="14091" width="7.42578125" customWidth="1"/>
    <col min="14092" max="14092" width="6.85546875" customWidth="1"/>
    <col min="14093" max="14093" width="7" customWidth="1"/>
    <col min="14094" max="14097" width="0" hidden="1" customWidth="1"/>
    <col min="14098" max="14098" width="8.7109375" customWidth="1"/>
    <col min="14099" max="14099" width="12.85546875" customWidth="1"/>
    <col min="14100" max="14100" width="16.85546875" customWidth="1"/>
    <col min="14338" max="14338" width="3.28515625" customWidth="1"/>
    <col min="14339" max="14339" width="12.85546875" customWidth="1"/>
    <col min="14340" max="14340" width="17" customWidth="1"/>
    <col min="14341" max="14341" width="11.140625" customWidth="1"/>
    <col min="14342" max="14342" width="8.85546875" customWidth="1"/>
    <col min="14343" max="14343" width="8.5703125" customWidth="1"/>
    <col min="14344" max="14344" width="8.42578125" customWidth="1"/>
    <col min="14345" max="14345" width="8.140625" customWidth="1"/>
    <col min="14346" max="14346" width="0" hidden="1" customWidth="1"/>
    <col min="14347" max="14347" width="7.42578125" customWidth="1"/>
    <col min="14348" max="14348" width="6.85546875" customWidth="1"/>
    <col min="14349" max="14349" width="7" customWidth="1"/>
    <col min="14350" max="14353" width="0" hidden="1" customWidth="1"/>
    <col min="14354" max="14354" width="8.7109375" customWidth="1"/>
    <col min="14355" max="14355" width="12.85546875" customWidth="1"/>
    <col min="14356" max="14356" width="16.85546875" customWidth="1"/>
    <col min="14594" max="14594" width="3.28515625" customWidth="1"/>
    <col min="14595" max="14595" width="12.85546875" customWidth="1"/>
    <col min="14596" max="14596" width="17" customWidth="1"/>
    <col min="14597" max="14597" width="11.140625" customWidth="1"/>
    <col min="14598" max="14598" width="8.85546875" customWidth="1"/>
    <col min="14599" max="14599" width="8.5703125" customWidth="1"/>
    <col min="14600" max="14600" width="8.42578125" customWidth="1"/>
    <col min="14601" max="14601" width="8.140625" customWidth="1"/>
    <col min="14602" max="14602" width="0" hidden="1" customWidth="1"/>
    <col min="14603" max="14603" width="7.42578125" customWidth="1"/>
    <col min="14604" max="14604" width="6.85546875" customWidth="1"/>
    <col min="14605" max="14605" width="7" customWidth="1"/>
    <col min="14606" max="14609" width="0" hidden="1" customWidth="1"/>
    <col min="14610" max="14610" width="8.7109375" customWidth="1"/>
    <col min="14611" max="14611" width="12.85546875" customWidth="1"/>
    <col min="14612" max="14612" width="16.85546875" customWidth="1"/>
    <col min="14850" max="14850" width="3.28515625" customWidth="1"/>
    <col min="14851" max="14851" width="12.85546875" customWidth="1"/>
    <col min="14852" max="14852" width="17" customWidth="1"/>
    <col min="14853" max="14853" width="11.140625" customWidth="1"/>
    <col min="14854" max="14854" width="8.85546875" customWidth="1"/>
    <col min="14855" max="14855" width="8.5703125" customWidth="1"/>
    <col min="14856" max="14856" width="8.42578125" customWidth="1"/>
    <col min="14857" max="14857" width="8.140625" customWidth="1"/>
    <col min="14858" max="14858" width="0" hidden="1" customWidth="1"/>
    <col min="14859" max="14859" width="7.42578125" customWidth="1"/>
    <col min="14860" max="14860" width="6.85546875" customWidth="1"/>
    <col min="14861" max="14861" width="7" customWidth="1"/>
    <col min="14862" max="14865" width="0" hidden="1" customWidth="1"/>
    <col min="14866" max="14866" width="8.7109375" customWidth="1"/>
    <col min="14867" max="14867" width="12.85546875" customWidth="1"/>
    <col min="14868" max="14868" width="16.85546875" customWidth="1"/>
    <col min="15106" max="15106" width="3.28515625" customWidth="1"/>
    <col min="15107" max="15107" width="12.85546875" customWidth="1"/>
    <col min="15108" max="15108" width="17" customWidth="1"/>
    <col min="15109" max="15109" width="11.140625" customWidth="1"/>
    <col min="15110" max="15110" width="8.85546875" customWidth="1"/>
    <col min="15111" max="15111" width="8.5703125" customWidth="1"/>
    <col min="15112" max="15112" width="8.42578125" customWidth="1"/>
    <col min="15113" max="15113" width="8.140625" customWidth="1"/>
    <col min="15114" max="15114" width="0" hidden="1" customWidth="1"/>
    <col min="15115" max="15115" width="7.42578125" customWidth="1"/>
    <col min="15116" max="15116" width="6.85546875" customWidth="1"/>
    <col min="15117" max="15117" width="7" customWidth="1"/>
    <col min="15118" max="15121" width="0" hidden="1" customWidth="1"/>
    <col min="15122" max="15122" width="8.7109375" customWidth="1"/>
    <col min="15123" max="15123" width="12.85546875" customWidth="1"/>
    <col min="15124" max="15124" width="16.85546875" customWidth="1"/>
    <col min="15362" max="15362" width="3.28515625" customWidth="1"/>
    <col min="15363" max="15363" width="12.85546875" customWidth="1"/>
    <col min="15364" max="15364" width="17" customWidth="1"/>
    <col min="15365" max="15365" width="11.140625" customWidth="1"/>
    <col min="15366" max="15366" width="8.85546875" customWidth="1"/>
    <col min="15367" max="15367" width="8.5703125" customWidth="1"/>
    <col min="15368" max="15368" width="8.42578125" customWidth="1"/>
    <col min="15369" max="15369" width="8.140625" customWidth="1"/>
    <col min="15370" max="15370" width="0" hidden="1" customWidth="1"/>
    <col min="15371" max="15371" width="7.42578125" customWidth="1"/>
    <col min="15372" max="15372" width="6.85546875" customWidth="1"/>
    <col min="15373" max="15373" width="7" customWidth="1"/>
    <col min="15374" max="15377" width="0" hidden="1" customWidth="1"/>
    <col min="15378" max="15378" width="8.7109375" customWidth="1"/>
    <col min="15379" max="15379" width="12.85546875" customWidth="1"/>
    <col min="15380" max="15380" width="16.85546875" customWidth="1"/>
    <col min="15618" max="15618" width="3.28515625" customWidth="1"/>
    <col min="15619" max="15619" width="12.85546875" customWidth="1"/>
    <col min="15620" max="15620" width="17" customWidth="1"/>
    <col min="15621" max="15621" width="11.140625" customWidth="1"/>
    <col min="15622" max="15622" width="8.85546875" customWidth="1"/>
    <col min="15623" max="15623" width="8.5703125" customWidth="1"/>
    <col min="15624" max="15624" width="8.42578125" customWidth="1"/>
    <col min="15625" max="15625" width="8.140625" customWidth="1"/>
    <col min="15626" max="15626" width="0" hidden="1" customWidth="1"/>
    <col min="15627" max="15627" width="7.42578125" customWidth="1"/>
    <col min="15628" max="15628" width="6.85546875" customWidth="1"/>
    <col min="15629" max="15629" width="7" customWidth="1"/>
    <col min="15630" max="15633" width="0" hidden="1" customWidth="1"/>
    <col min="15634" max="15634" width="8.7109375" customWidth="1"/>
    <col min="15635" max="15635" width="12.85546875" customWidth="1"/>
    <col min="15636" max="15636" width="16.85546875" customWidth="1"/>
    <col min="15874" max="15874" width="3.28515625" customWidth="1"/>
    <col min="15875" max="15875" width="12.85546875" customWidth="1"/>
    <col min="15876" max="15876" width="17" customWidth="1"/>
    <col min="15877" max="15877" width="11.140625" customWidth="1"/>
    <col min="15878" max="15878" width="8.85546875" customWidth="1"/>
    <col min="15879" max="15879" width="8.5703125" customWidth="1"/>
    <col min="15880" max="15880" width="8.42578125" customWidth="1"/>
    <col min="15881" max="15881" width="8.140625" customWidth="1"/>
    <col min="15882" max="15882" width="0" hidden="1" customWidth="1"/>
    <col min="15883" max="15883" width="7.42578125" customWidth="1"/>
    <col min="15884" max="15884" width="6.85546875" customWidth="1"/>
    <col min="15885" max="15885" width="7" customWidth="1"/>
    <col min="15886" max="15889" width="0" hidden="1" customWidth="1"/>
    <col min="15890" max="15890" width="8.7109375" customWidth="1"/>
    <col min="15891" max="15891" width="12.85546875" customWidth="1"/>
    <col min="15892" max="15892" width="16.85546875" customWidth="1"/>
    <col min="16130" max="16130" width="3.28515625" customWidth="1"/>
    <col min="16131" max="16131" width="12.85546875" customWidth="1"/>
    <col min="16132" max="16132" width="17" customWidth="1"/>
    <col min="16133" max="16133" width="11.140625" customWidth="1"/>
    <col min="16134" max="16134" width="8.85546875" customWidth="1"/>
    <col min="16135" max="16135" width="8.5703125" customWidth="1"/>
    <col min="16136" max="16136" width="8.42578125" customWidth="1"/>
    <col min="16137" max="16137" width="8.140625" customWidth="1"/>
    <col min="16138" max="16138" width="0" hidden="1" customWidth="1"/>
    <col min="16139" max="16139" width="7.42578125" customWidth="1"/>
    <col min="16140" max="16140" width="6.85546875" customWidth="1"/>
    <col min="16141" max="16141" width="7" customWidth="1"/>
    <col min="16142" max="16145" width="0" hidden="1" customWidth="1"/>
    <col min="16146" max="16146" width="8.7109375" customWidth="1"/>
    <col min="16147" max="16147" width="12.85546875" customWidth="1"/>
    <col min="16148" max="16148" width="16.85546875" customWidth="1"/>
  </cols>
  <sheetData>
    <row r="1" spans="1:30" s="8" customFormat="1" ht="90.75" thickBot="1" x14ac:dyDescent="0.3">
      <c r="A1" s="1"/>
      <c r="B1" s="2" t="s">
        <v>4</v>
      </c>
      <c r="C1" s="3" t="s">
        <v>5</v>
      </c>
      <c r="D1" s="4" t="s">
        <v>6</v>
      </c>
      <c r="E1" s="199" t="s">
        <v>7</v>
      </c>
      <c r="F1" s="200"/>
      <c r="G1" s="200"/>
      <c r="H1" s="200"/>
      <c r="I1" s="5"/>
      <c r="J1" s="201" t="s">
        <v>8</v>
      </c>
      <c r="K1" s="202"/>
      <c r="L1" s="202"/>
      <c r="M1" s="203"/>
      <c r="N1" s="204"/>
      <c r="O1" s="205"/>
      <c r="P1" s="206"/>
      <c r="Q1" s="151" t="s">
        <v>144</v>
      </c>
      <c r="R1" s="7" t="s">
        <v>9</v>
      </c>
      <c r="S1" s="6"/>
      <c r="T1" s="161" t="s">
        <v>129</v>
      </c>
      <c r="U1" s="161" t="s">
        <v>127</v>
      </c>
      <c r="V1" s="161" t="s">
        <v>134</v>
      </c>
      <c r="W1" s="161" t="s">
        <v>132</v>
      </c>
      <c r="X1" s="161" t="s">
        <v>128</v>
      </c>
      <c r="Y1" s="161" t="s">
        <v>130</v>
      </c>
      <c r="Z1" s="161" t="s">
        <v>131</v>
      </c>
      <c r="AA1" s="161" t="s">
        <v>133</v>
      </c>
      <c r="AB1" s="161" t="s">
        <v>137</v>
      </c>
      <c r="AC1" s="161" t="s">
        <v>138</v>
      </c>
      <c r="AD1" s="113"/>
    </row>
    <row r="2" spans="1:30" s="21" customFormat="1" ht="16.5" thickBot="1" x14ac:dyDescent="0.3">
      <c r="A2" s="9"/>
      <c r="B2" s="10" t="s">
        <v>10</v>
      </c>
      <c r="C2" s="11" t="s">
        <v>11</v>
      </c>
      <c r="D2" s="12" t="s">
        <v>12</v>
      </c>
      <c r="E2" s="13" t="s">
        <v>140</v>
      </c>
      <c r="F2" s="14" t="s">
        <v>13</v>
      </c>
      <c r="G2" s="10" t="s">
        <v>14</v>
      </c>
      <c r="H2" s="10" t="s">
        <v>15</v>
      </c>
      <c r="I2" s="15"/>
      <c r="J2" s="144" t="s">
        <v>16</v>
      </c>
      <c r="K2" s="145" t="s">
        <v>17</v>
      </c>
      <c r="L2" s="207" t="s">
        <v>18</v>
      </c>
      <c r="M2" s="208"/>
      <c r="N2" s="16"/>
      <c r="O2" s="17"/>
      <c r="P2" s="18"/>
      <c r="Q2" s="152" t="s">
        <v>141</v>
      </c>
      <c r="R2" s="19" t="s">
        <v>19</v>
      </c>
      <c r="S2" s="20"/>
      <c r="T2" s="114"/>
      <c r="U2" s="115"/>
      <c r="V2" s="115"/>
      <c r="W2" s="115"/>
      <c r="X2" s="115"/>
      <c r="Y2" s="115"/>
      <c r="Z2" s="115"/>
      <c r="AA2" s="115"/>
      <c r="AB2" s="115"/>
      <c r="AC2" s="115"/>
      <c r="AD2" s="115"/>
    </row>
    <row r="3" spans="1:30" s="30" customFormat="1" ht="15.75" x14ac:dyDescent="0.25">
      <c r="A3" s="22">
        <v>1</v>
      </c>
      <c r="B3" s="23" t="s">
        <v>20</v>
      </c>
      <c r="C3" s="139" t="s">
        <v>21</v>
      </c>
      <c r="D3" s="24">
        <v>343</v>
      </c>
      <c r="E3" s="25"/>
      <c r="F3" s="26">
        <v>299</v>
      </c>
      <c r="G3" s="26"/>
      <c r="H3" s="26"/>
      <c r="I3" s="26"/>
      <c r="J3" s="146"/>
      <c r="K3" s="146">
        <v>44</v>
      </c>
      <c r="L3" s="146"/>
      <c r="M3" s="146"/>
      <c r="N3" s="27"/>
      <c r="O3" s="27"/>
      <c r="P3" s="27"/>
      <c r="Q3" s="28"/>
      <c r="R3" s="28"/>
      <c r="S3" s="29"/>
      <c r="T3" s="116">
        <f>SUM(E3*F43+F3*H43+G3*H29+J3*K29+K3*Q29+L3*D43)</f>
        <v>164.82999999999998</v>
      </c>
      <c r="U3" s="117">
        <f>SUM(J3:L3)*K36</f>
        <v>39.131399999999999</v>
      </c>
      <c r="V3" s="117">
        <f>SUM(D3*0.15*0.8)</f>
        <v>41.16</v>
      </c>
      <c r="W3" s="117">
        <f>SUM(J3:L3)*0.15*4</f>
        <v>26.4</v>
      </c>
      <c r="X3" s="117">
        <f>SUM(J3:L3)*0.2*4</f>
        <v>35.200000000000003</v>
      </c>
      <c r="Y3" s="117">
        <f>SUM(D3*0.8)</f>
        <v>274.40000000000003</v>
      </c>
      <c r="Z3" s="117"/>
      <c r="AA3" s="117">
        <f>SUM(J3:L3)*0.1*4</f>
        <v>17.600000000000001</v>
      </c>
      <c r="AB3" s="117"/>
      <c r="AC3" s="117"/>
      <c r="AD3" s="117"/>
    </row>
    <row r="4" spans="1:30" s="38" customFormat="1" ht="15.75" x14ac:dyDescent="0.25">
      <c r="A4" s="22">
        <v>3</v>
      </c>
      <c r="B4" s="31" t="s">
        <v>22</v>
      </c>
      <c r="C4" s="140" t="s">
        <v>23</v>
      </c>
      <c r="D4" s="32">
        <v>177</v>
      </c>
      <c r="E4" s="33">
        <v>158</v>
      </c>
      <c r="F4" s="34"/>
      <c r="G4" s="34"/>
      <c r="H4" s="34"/>
      <c r="I4" s="34"/>
      <c r="J4" s="147">
        <v>19</v>
      </c>
      <c r="K4" s="147"/>
      <c r="L4" s="147"/>
      <c r="M4" s="147"/>
      <c r="N4" s="35"/>
      <c r="O4" s="35"/>
      <c r="P4" s="35"/>
      <c r="Q4" s="36"/>
      <c r="R4" s="36"/>
      <c r="S4" s="37"/>
      <c r="T4" s="116">
        <f>SUM(E4*F43+F4*H43+G4*H29+J4*K29+K4*Q29+L4*D43)</f>
        <v>56.16</v>
      </c>
      <c r="U4" s="117">
        <f>SUM(J4:L4)*K36</f>
        <v>16.897649999999999</v>
      </c>
      <c r="V4" s="117">
        <f t="shared" ref="V4:V19" si="0">SUM(D4*0.15*0.8)</f>
        <v>21.240000000000002</v>
      </c>
      <c r="W4" s="117">
        <f t="shared" ref="W4:W20" si="1">SUM(J4:L4)*0.15*4</f>
        <v>11.4</v>
      </c>
      <c r="X4" s="117">
        <f t="shared" ref="X4:X20" si="2">SUM(J4:L4)*0.2*4</f>
        <v>15.200000000000001</v>
      </c>
      <c r="Y4" s="117">
        <f t="shared" ref="Y4:Y19" si="3">SUM(D4*0.8)</f>
        <v>141.6</v>
      </c>
      <c r="Z4" s="118"/>
      <c r="AA4" s="117">
        <f t="shared" ref="AA4:AA19" si="4">SUM(J4:L4)*0.1*4</f>
        <v>7.6000000000000005</v>
      </c>
      <c r="AB4" s="118">
        <f>(6*1*0.15)</f>
        <v>0.89999999999999991</v>
      </c>
      <c r="AC4" s="118"/>
      <c r="AD4" s="118"/>
    </row>
    <row r="5" spans="1:30" s="46" customFormat="1" ht="15.75" x14ac:dyDescent="0.25">
      <c r="A5" s="39">
        <v>6</v>
      </c>
      <c r="B5" s="31" t="s">
        <v>24</v>
      </c>
      <c r="C5" s="140" t="s">
        <v>25</v>
      </c>
      <c r="D5" s="40">
        <v>188</v>
      </c>
      <c r="E5" s="41"/>
      <c r="F5" s="42">
        <v>164</v>
      </c>
      <c r="G5" s="42"/>
      <c r="H5" s="42"/>
      <c r="I5" s="42"/>
      <c r="J5" s="148"/>
      <c r="K5" s="148">
        <v>24</v>
      </c>
      <c r="L5" s="148"/>
      <c r="M5" s="148"/>
      <c r="N5" s="43"/>
      <c r="O5" s="43"/>
      <c r="P5" s="43"/>
      <c r="Q5" s="44"/>
      <c r="R5" s="44"/>
      <c r="S5" s="45"/>
      <c r="T5" s="116">
        <f>SUM(E5*F43+F5*H43+G5*H29+J5*K29+K5*Q29+L5*D43)</f>
        <v>90.28</v>
      </c>
      <c r="U5" s="117">
        <f>SUM(J5:L5)*K36</f>
        <v>21.3444</v>
      </c>
      <c r="V5" s="117">
        <f t="shared" si="0"/>
        <v>22.560000000000002</v>
      </c>
      <c r="W5" s="117">
        <f t="shared" si="1"/>
        <v>14.399999999999999</v>
      </c>
      <c r="X5" s="117">
        <f t="shared" si="2"/>
        <v>19.200000000000003</v>
      </c>
      <c r="Y5" s="117">
        <f t="shared" si="3"/>
        <v>150.4</v>
      </c>
      <c r="Z5" s="119"/>
      <c r="AA5" s="117">
        <f t="shared" si="4"/>
        <v>9.6000000000000014</v>
      </c>
      <c r="AB5" s="119"/>
      <c r="AC5" s="119"/>
      <c r="AD5" s="119"/>
    </row>
    <row r="6" spans="1:30" s="38" customFormat="1" ht="15.75" x14ac:dyDescent="0.25">
      <c r="A6" s="22">
        <v>8</v>
      </c>
      <c r="B6" s="31" t="s">
        <v>142</v>
      </c>
      <c r="C6" s="141" t="s">
        <v>26</v>
      </c>
      <c r="D6" s="32">
        <v>18</v>
      </c>
      <c r="E6" s="33">
        <v>14</v>
      </c>
      <c r="F6" s="34"/>
      <c r="G6" s="34"/>
      <c r="H6" s="34"/>
      <c r="I6" s="34"/>
      <c r="J6" s="147">
        <v>4</v>
      </c>
      <c r="K6" s="147"/>
      <c r="L6" s="147"/>
      <c r="M6" s="147"/>
      <c r="N6" s="35"/>
      <c r="O6" s="35"/>
      <c r="P6" s="35"/>
      <c r="Q6" s="36"/>
      <c r="R6" s="36"/>
      <c r="S6" s="37"/>
      <c r="T6" s="116">
        <f>SUM(E6*F43+F6*H43+G6*H29+J6*K29+K6*Q29+L6*D43)</f>
        <v>7.1999999999999993</v>
      </c>
      <c r="U6" s="117">
        <f>SUM(J6:L6)*K36</f>
        <v>3.5573999999999999</v>
      </c>
      <c r="V6" s="117">
        <f t="shared" si="0"/>
        <v>2.1599999999999997</v>
      </c>
      <c r="W6" s="117">
        <f t="shared" si="1"/>
        <v>2.4</v>
      </c>
      <c r="X6" s="117">
        <f t="shared" si="2"/>
        <v>3.2</v>
      </c>
      <c r="Y6" s="117">
        <f t="shared" si="3"/>
        <v>14.4</v>
      </c>
      <c r="Z6" s="118"/>
      <c r="AA6" s="117">
        <f t="shared" si="4"/>
        <v>1.6</v>
      </c>
      <c r="AB6" s="118"/>
      <c r="AC6" s="118"/>
      <c r="AD6" s="118"/>
    </row>
    <row r="7" spans="1:30" s="38" customFormat="1" ht="15.75" x14ac:dyDescent="0.25">
      <c r="A7" s="22">
        <v>9</v>
      </c>
      <c r="B7" s="31" t="s">
        <v>143</v>
      </c>
      <c r="C7" s="140" t="s">
        <v>28</v>
      </c>
      <c r="D7" s="32">
        <v>53</v>
      </c>
      <c r="E7" s="33">
        <v>53</v>
      </c>
      <c r="F7" s="34"/>
      <c r="G7" s="34"/>
      <c r="H7" s="34"/>
      <c r="I7" s="34"/>
      <c r="J7" s="147"/>
      <c r="K7" s="147"/>
      <c r="L7" s="147"/>
      <c r="M7" s="147"/>
      <c r="N7" s="35"/>
      <c r="O7" s="35"/>
      <c r="P7" s="35"/>
      <c r="Q7" s="36">
        <v>9</v>
      </c>
      <c r="R7" s="36"/>
      <c r="S7" s="37"/>
      <c r="T7" s="116">
        <f>SUM(E7*F43+F7*H43+G7*H29+J7*K29+K7*Q29+L7*D43)</f>
        <v>12.719999999999999</v>
      </c>
      <c r="U7" s="117">
        <f>SUM(J7:L7)*K36</f>
        <v>0</v>
      </c>
      <c r="V7" s="117">
        <f t="shared" si="0"/>
        <v>6.3599999999999994</v>
      </c>
      <c r="W7" s="117">
        <f t="shared" si="1"/>
        <v>0</v>
      </c>
      <c r="X7" s="117">
        <f t="shared" si="2"/>
        <v>0</v>
      </c>
      <c r="Y7" s="117">
        <f t="shared" si="3"/>
        <v>42.400000000000006</v>
      </c>
      <c r="Z7" s="118"/>
      <c r="AA7" s="117">
        <f t="shared" si="4"/>
        <v>0</v>
      </c>
      <c r="AB7" s="118">
        <f>(5+7)*1*0.15</f>
        <v>1.7999999999999998</v>
      </c>
      <c r="AC7" s="118"/>
      <c r="AD7" s="118"/>
    </row>
    <row r="8" spans="1:30" s="38" customFormat="1" ht="15.75" x14ac:dyDescent="0.25">
      <c r="A8" s="22">
        <v>10</v>
      </c>
      <c r="B8" s="31" t="s">
        <v>145</v>
      </c>
      <c r="C8" s="140" t="s">
        <v>29</v>
      </c>
      <c r="D8" s="32">
        <v>20</v>
      </c>
      <c r="E8" s="33">
        <v>20</v>
      </c>
      <c r="F8" s="34"/>
      <c r="G8" s="34"/>
      <c r="H8" s="34"/>
      <c r="I8" s="34"/>
      <c r="J8" s="147"/>
      <c r="K8" s="147"/>
      <c r="L8" s="147"/>
      <c r="M8" s="147"/>
      <c r="N8" s="35"/>
      <c r="O8" s="35"/>
      <c r="P8" s="35"/>
      <c r="Q8" s="36"/>
      <c r="R8" s="36"/>
      <c r="S8" s="37"/>
      <c r="T8" s="116">
        <f>SUM(E8*F43+F8*H43+G8*H29+J8*K29+K8*Q29+L8*D43)</f>
        <v>4.8</v>
      </c>
      <c r="U8" s="117">
        <f>SUM(J8:L8)*K36</f>
        <v>0</v>
      </c>
      <c r="V8" s="117">
        <f t="shared" si="0"/>
        <v>2.4000000000000004</v>
      </c>
      <c r="W8" s="117">
        <f t="shared" si="1"/>
        <v>0</v>
      </c>
      <c r="X8" s="117">
        <f t="shared" si="2"/>
        <v>0</v>
      </c>
      <c r="Y8" s="117">
        <f t="shared" si="3"/>
        <v>16</v>
      </c>
      <c r="Z8" s="118"/>
      <c r="AA8" s="117">
        <f t="shared" si="4"/>
        <v>0</v>
      </c>
      <c r="AB8" s="118"/>
      <c r="AC8" s="118"/>
      <c r="AD8" s="118"/>
    </row>
    <row r="9" spans="1:30" s="38" customFormat="1" ht="15.75" x14ac:dyDescent="0.25">
      <c r="A9" s="22">
        <v>13</v>
      </c>
      <c r="B9" s="31" t="s">
        <v>27</v>
      </c>
      <c r="C9" s="140">
        <v>168</v>
      </c>
      <c r="D9" s="32">
        <v>104</v>
      </c>
      <c r="E9" s="33"/>
      <c r="F9" s="34">
        <v>104</v>
      </c>
      <c r="G9" s="34"/>
      <c r="H9" s="34"/>
      <c r="I9" s="34"/>
      <c r="J9" s="147"/>
      <c r="K9" s="147"/>
      <c r="L9" s="147"/>
      <c r="M9" s="147"/>
      <c r="N9" s="35"/>
      <c r="O9" s="35"/>
      <c r="P9" s="35"/>
      <c r="Q9" s="36"/>
      <c r="R9" s="36"/>
      <c r="S9" s="37"/>
      <c r="T9" s="116">
        <f>SUM(E9*F43+F9*H43+G9*H29+J9*K29+K9*Q29+L9*D43)</f>
        <v>42.64</v>
      </c>
      <c r="U9" s="117">
        <f>SUM(J9:L9)*K36</f>
        <v>0</v>
      </c>
      <c r="V9" s="117">
        <f t="shared" si="0"/>
        <v>12.48</v>
      </c>
      <c r="W9" s="117">
        <f t="shared" si="1"/>
        <v>0</v>
      </c>
      <c r="X9" s="117">
        <f t="shared" si="2"/>
        <v>0</v>
      </c>
      <c r="Y9" s="117">
        <f t="shared" si="3"/>
        <v>83.2</v>
      </c>
      <c r="Z9" s="118"/>
      <c r="AA9" s="117">
        <f t="shared" si="4"/>
        <v>0</v>
      </c>
      <c r="AB9" s="118"/>
      <c r="AC9" s="118"/>
      <c r="AD9" s="118"/>
    </row>
    <row r="10" spans="1:30" s="46" customFormat="1" ht="15.75" x14ac:dyDescent="0.25">
      <c r="A10" s="39">
        <v>14</v>
      </c>
      <c r="B10" s="31" t="s">
        <v>30</v>
      </c>
      <c r="C10" s="140" t="s">
        <v>26</v>
      </c>
      <c r="D10" s="40">
        <v>145</v>
      </c>
      <c r="E10" s="41">
        <v>136</v>
      </c>
      <c r="F10" s="42"/>
      <c r="G10" s="42"/>
      <c r="H10" s="42"/>
      <c r="I10" s="42"/>
      <c r="J10" s="148">
        <v>9</v>
      </c>
      <c r="K10" s="148"/>
      <c r="L10" s="148"/>
      <c r="M10" s="148"/>
      <c r="N10" s="43"/>
      <c r="O10" s="43"/>
      <c r="P10" s="43"/>
      <c r="Q10" s="44"/>
      <c r="R10" s="44"/>
      <c r="S10" s="45"/>
      <c r="T10" s="116">
        <f>SUM(E10*F43+F10*H43+G10*H29+J10*K29+K10*Q29+L10*D43)</f>
        <v>41.28</v>
      </c>
      <c r="U10" s="117">
        <f>SUM(J10:L10)*K36</f>
        <v>8.0041499999999992</v>
      </c>
      <c r="V10" s="117">
        <f t="shared" si="0"/>
        <v>17.400000000000002</v>
      </c>
      <c r="W10" s="117">
        <f t="shared" si="1"/>
        <v>5.3999999999999995</v>
      </c>
      <c r="X10" s="117">
        <f t="shared" si="2"/>
        <v>7.2</v>
      </c>
      <c r="Y10" s="117">
        <f t="shared" si="3"/>
        <v>116</v>
      </c>
      <c r="Z10" s="119"/>
      <c r="AA10" s="117">
        <f t="shared" si="4"/>
        <v>3.6</v>
      </c>
      <c r="AB10" s="119"/>
      <c r="AC10" s="119"/>
      <c r="AD10" s="119"/>
    </row>
    <row r="11" spans="1:30" s="48" customFormat="1" ht="15.75" x14ac:dyDescent="0.25">
      <c r="A11" s="39">
        <v>17</v>
      </c>
      <c r="B11" s="31" t="s">
        <v>31</v>
      </c>
      <c r="C11" s="140" t="s">
        <v>32</v>
      </c>
      <c r="D11" s="40">
        <v>39</v>
      </c>
      <c r="E11" s="41"/>
      <c r="F11" s="42"/>
      <c r="G11" s="42">
        <v>32</v>
      </c>
      <c r="H11" s="42"/>
      <c r="I11" s="42"/>
      <c r="J11" s="148"/>
      <c r="K11" s="148">
        <v>7</v>
      </c>
      <c r="L11" s="148"/>
      <c r="M11" s="148"/>
      <c r="N11" s="43"/>
      <c r="O11" s="43"/>
      <c r="P11" s="43"/>
      <c r="Q11" s="44"/>
      <c r="R11" s="44"/>
      <c r="S11" s="47"/>
      <c r="T11" s="116">
        <f>SUM(E11*F43+F11*H43+G11*H29+J11*K29+K11*Q29+L11*D43)</f>
        <v>28</v>
      </c>
      <c r="U11" s="117">
        <f>SUM(J11:L11)*K36</f>
        <v>6.2254499999999995</v>
      </c>
      <c r="V11" s="117">
        <f t="shared" si="0"/>
        <v>4.68</v>
      </c>
      <c r="W11" s="117">
        <f t="shared" si="1"/>
        <v>4.2</v>
      </c>
      <c r="X11" s="117">
        <f t="shared" si="2"/>
        <v>5.6000000000000005</v>
      </c>
      <c r="Y11" s="117">
        <f t="shared" si="3"/>
        <v>31.200000000000003</v>
      </c>
      <c r="Z11" s="120"/>
      <c r="AA11" s="117">
        <f t="shared" si="4"/>
        <v>2.8000000000000003</v>
      </c>
      <c r="AB11" s="120"/>
      <c r="AC11" s="120"/>
      <c r="AD11" s="120"/>
    </row>
    <row r="12" spans="1:30" s="38" customFormat="1" ht="15.75" x14ac:dyDescent="0.25">
      <c r="A12" s="22">
        <v>19</v>
      </c>
      <c r="B12" s="31" t="s">
        <v>146</v>
      </c>
      <c r="C12" s="141" t="s">
        <v>26</v>
      </c>
      <c r="D12" s="32">
        <v>275</v>
      </c>
      <c r="E12" s="33"/>
      <c r="F12" s="34">
        <v>252</v>
      </c>
      <c r="G12" s="34"/>
      <c r="H12" s="34"/>
      <c r="I12" s="34"/>
      <c r="J12" s="147"/>
      <c r="K12" s="147">
        <v>23</v>
      </c>
      <c r="L12" s="147"/>
      <c r="M12" s="147"/>
      <c r="N12" s="35"/>
      <c r="O12" s="35"/>
      <c r="P12" s="35"/>
      <c r="Q12" s="36"/>
      <c r="R12" s="36"/>
      <c r="S12" s="37"/>
      <c r="T12" s="116">
        <f>SUM(E12*F43+F12*H43+G12*H29+J12*K29+K12*Q29+L12*D43)</f>
        <v>125.39999999999999</v>
      </c>
      <c r="U12" s="117">
        <f>SUM(J12:L12)*K36</f>
        <v>20.45505</v>
      </c>
      <c r="V12" s="117">
        <f t="shared" si="0"/>
        <v>33</v>
      </c>
      <c r="W12" s="117">
        <f t="shared" si="1"/>
        <v>13.799999999999999</v>
      </c>
      <c r="X12" s="117">
        <f t="shared" si="2"/>
        <v>18.400000000000002</v>
      </c>
      <c r="Y12" s="117">
        <f t="shared" si="3"/>
        <v>220</v>
      </c>
      <c r="Z12" s="118"/>
      <c r="AA12" s="117">
        <f t="shared" si="4"/>
        <v>9.2000000000000011</v>
      </c>
      <c r="AB12" s="118">
        <f>(8)*1*0.15</f>
        <v>1.2</v>
      </c>
      <c r="AC12" s="118"/>
      <c r="AD12" s="118"/>
    </row>
    <row r="13" spans="1:30" s="38" customFormat="1" ht="15.75" x14ac:dyDescent="0.25">
      <c r="A13" s="22">
        <v>21</v>
      </c>
      <c r="B13" s="31" t="s">
        <v>33</v>
      </c>
      <c r="C13" s="140" t="s">
        <v>32</v>
      </c>
      <c r="D13" s="32">
        <v>17</v>
      </c>
      <c r="E13" s="33">
        <v>6</v>
      </c>
      <c r="F13" s="34"/>
      <c r="G13" s="34"/>
      <c r="H13" s="34"/>
      <c r="I13" s="34"/>
      <c r="J13" s="147">
        <v>11</v>
      </c>
      <c r="K13" s="147"/>
      <c r="L13" s="147"/>
      <c r="M13" s="147"/>
      <c r="N13" s="35"/>
      <c r="O13" s="35"/>
      <c r="P13" s="35"/>
      <c r="Q13" s="36"/>
      <c r="R13" s="36"/>
      <c r="S13" s="37"/>
      <c r="T13" s="116">
        <f>SUM(E13*F43+F13*H43+G13*H29+J13*K29+K13*Q29+L13*D43)</f>
        <v>11.999999999999998</v>
      </c>
      <c r="U13" s="117">
        <f>SUM(J13:L13)*K36</f>
        <v>9.7828499999999998</v>
      </c>
      <c r="V13" s="117">
        <f t="shared" si="0"/>
        <v>2.04</v>
      </c>
      <c r="W13" s="117">
        <f t="shared" si="1"/>
        <v>6.6</v>
      </c>
      <c r="X13" s="117">
        <f t="shared" si="2"/>
        <v>8.8000000000000007</v>
      </c>
      <c r="Y13" s="117">
        <f t="shared" si="3"/>
        <v>13.600000000000001</v>
      </c>
      <c r="Z13" s="118"/>
      <c r="AA13" s="117">
        <f t="shared" si="4"/>
        <v>4.4000000000000004</v>
      </c>
      <c r="AB13" s="118"/>
      <c r="AC13" s="118"/>
      <c r="AD13" s="118"/>
    </row>
    <row r="14" spans="1:30" s="46" customFormat="1" ht="15.75" x14ac:dyDescent="0.25">
      <c r="A14" s="39">
        <v>23</v>
      </c>
      <c r="B14" s="31" t="s">
        <v>34</v>
      </c>
      <c r="C14" s="140" t="s">
        <v>29</v>
      </c>
      <c r="D14" s="40">
        <v>57</v>
      </c>
      <c r="E14" s="41">
        <v>55</v>
      </c>
      <c r="F14" s="42"/>
      <c r="G14" s="42"/>
      <c r="H14" s="42"/>
      <c r="I14" s="42"/>
      <c r="J14" s="148">
        <v>2</v>
      </c>
      <c r="K14" s="148"/>
      <c r="L14" s="148"/>
      <c r="M14" s="148"/>
      <c r="N14" s="43"/>
      <c r="O14" s="43"/>
      <c r="P14" s="43"/>
      <c r="Q14" s="44"/>
      <c r="R14" s="44"/>
      <c r="S14" s="45"/>
      <c r="T14" s="116">
        <f>SUM(E14*F43+F14*H43+G14*H29+J14*K29+K14*Q29+L14*D43)</f>
        <v>15.12</v>
      </c>
      <c r="U14" s="117">
        <f>SUM(J14:L14)*K36</f>
        <v>1.7786999999999999</v>
      </c>
      <c r="V14" s="117">
        <f t="shared" si="0"/>
        <v>6.84</v>
      </c>
      <c r="W14" s="117">
        <f t="shared" si="1"/>
        <v>1.2</v>
      </c>
      <c r="X14" s="117">
        <f t="shared" si="2"/>
        <v>1.6</v>
      </c>
      <c r="Y14" s="117">
        <f t="shared" si="3"/>
        <v>45.6</v>
      </c>
      <c r="Z14" s="119"/>
      <c r="AA14" s="117">
        <f t="shared" si="4"/>
        <v>0.8</v>
      </c>
      <c r="AB14" s="118">
        <f>(4)*1*0.15</f>
        <v>0.6</v>
      </c>
      <c r="AC14" s="119"/>
      <c r="AD14" s="119"/>
    </row>
    <row r="15" spans="1:30" s="38" customFormat="1" ht="15.75" x14ac:dyDescent="0.25">
      <c r="A15" s="22">
        <v>24</v>
      </c>
      <c r="B15" s="31" t="s">
        <v>147</v>
      </c>
      <c r="C15" s="142" t="s">
        <v>36</v>
      </c>
      <c r="D15" s="32">
        <v>56</v>
      </c>
      <c r="E15" s="33">
        <v>47</v>
      </c>
      <c r="F15" s="34"/>
      <c r="G15" s="34"/>
      <c r="H15" s="34"/>
      <c r="I15" s="34"/>
      <c r="J15" s="147">
        <v>9</v>
      </c>
      <c r="K15" s="147"/>
      <c r="L15" s="147"/>
      <c r="M15" s="147"/>
      <c r="N15" s="35"/>
      <c r="O15" s="35"/>
      <c r="P15" s="35"/>
      <c r="Q15" s="36"/>
      <c r="R15" s="36"/>
      <c r="S15" s="37"/>
      <c r="T15" s="116">
        <f>SUM(E15*F43+F15*H43+G15*H29+J15*K29+K15*Q29+L15*D43)</f>
        <v>19.920000000000002</v>
      </c>
      <c r="U15" s="117">
        <f>SUM(J15:L15)*K36</f>
        <v>8.0041499999999992</v>
      </c>
      <c r="V15" s="117">
        <f t="shared" si="0"/>
        <v>6.7200000000000006</v>
      </c>
      <c r="W15" s="117">
        <f t="shared" si="1"/>
        <v>5.3999999999999995</v>
      </c>
      <c r="X15" s="117">
        <f t="shared" si="2"/>
        <v>7.2</v>
      </c>
      <c r="Y15" s="117">
        <f t="shared" si="3"/>
        <v>44.800000000000004</v>
      </c>
      <c r="Z15" s="118"/>
      <c r="AA15" s="117">
        <f t="shared" si="4"/>
        <v>3.6</v>
      </c>
      <c r="AB15" s="118">
        <f>(6+10)*1*0.15</f>
        <v>2.4</v>
      </c>
      <c r="AC15" s="118"/>
      <c r="AD15" s="118"/>
    </row>
    <row r="16" spans="1:30" s="52" customFormat="1" ht="15.75" x14ac:dyDescent="0.25">
      <c r="A16" s="49">
        <v>26</v>
      </c>
      <c r="B16" s="50" t="s">
        <v>35</v>
      </c>
      <c r="C16" s="143" t="s">
        <v>36</v>
      </c>
      <c r="D16" s="51">
        <v>127</v>
      </c>
      <c r="E16" s="33">
        <v>112</v>
      </c>
      <c r="F16" s="34"/>
      <c r="G16" s="34"/>
      <c r="H16" s="34"/>
      <c r="I16" s="34"/>
      <c r="J16" s="147">
        <v>15</v>
      </c>
      <c r="K16" s="147"/>
      <c r="L16" s="147"/>
      <c r="M16" s="147"/>
      <c r="N16" s="35"/>
      <c r="O16" s="35"/>
      <c r="P16" s="35"/>
      <c r="Q16" s="36"/>
      <c r="R16" s="36"/>
      <c r="S16" s="37"/>
      <c r="T16" s="116">
        <f>SUM(E16*F43+F16*H43+G16*H29+J16*K29+K16*Q29+L16*D43)</f>
        <v>41.28</v>
      </c>
      <c r="U16" s="117">
        <f>SUM(J16:L16)*K36</f>
        <v>13.340249999999999</v>
      </c>
      <c r="V16" s="117">
        <f t="shared" si="0"/>
        <v>15.240000000000002</v>
      </c>
      <c r="W16" s="117">
        <f t="shared" si="1"/>
        <v>9</v>
      </c>
      <c r="X16" s="117">
        <f t="shared" si="2"/>
        <v>12</v>
      </c>
      <c r="Y16" s="117">
        <f t="shared" si="3"/>
        <v>101.60000000000001</v>
      </c>
      <c r="Z16" s="121"/>
      <c r="AA16" s="117">
        <f t="shared" si="4"/>
        <v>6</v>
      </c>
      <c r="AB16" s="118">
        <f>(6+10)*1*0.15</f>
        <v>2.4</v>
      </c>
      <c r="AC16" s="121"/>
      <c r="AD16" s="121"/>
    </row>
    <row r="17" spans="1:30" s="52" customFormat="1" ht="15.75" x14ac:dyDescent="0.25">
      <c r="A17" s="49">
        <v>27</v>
      </c>
      <c r="B17" s="50" t="s">
        <v>148</v>
      </c>
      <c r="C17" s="143">
        <v>18</v>
      </c>
      <c r="D17" s="51">
        <v>9</v>
      </c>
      <c r="E17" s="33">
        <v>9</v>
      </c>
      <c r="F17" s="34"/>
      <c r="G17" s="34"/>
      <c r="H17" s="34"/>
      <c r="I17" s="34"/>
      <c r="J17" s="147"/>
      <c r="K17" s="147"/>
      <c r="L17" s="147"/>
      <c r="M17" s="147"/>
      <c r="N17" s="35"/>
      <c r="O17" s="35"/>
      <c r="P17" s="35"/>
      <c r="Q17" s="36"/>
      <c r="R17" s="36"/>
      <c r="S17" s="37"/>
      <c r="T17" s="116">
        <f>SUM(E17*F43+F17*H43+G17*H29+J17*K29+K17*Q29+L17*D43)</f>
        <v>2.16</v>
      </c>
      <c r="U17" s="117">
        <f>SUM(J17:L17)*K36</f>
        <v>0</v>
      </c>
      <c r="V17" s="117">
        <f t="shared" si="0"/>
        <v>1.0799999999999998</v>
      </c>
      <c r="W17" s="117">
        <f t="shared" si="1"/>
        <v>0</v>
      </c>
      <c r="X17" s="117">
        <f t="shared" si="2"/>
        <v>0</v>
      </c>
      <c r="Y17" s="117">
        <f t="shared" si="3"/>
        <v>7.2</v>
      </c>
      <c r="Z17" s="121"/>
      <c r="AA17" s="117">
        <f t="shared" si="4"/>
        <v>0</v>
      </c>
      <c r="AB17" s="118">
        <f>(10+4.2+1)*1*0.15</f>
        <v>2.2799999999999998</v>
      </c>
      <c r="AC17" s="121"/>
      <c r="AD17" s="121"/>
    </row>
    <row r="18" spans="1:30" s="55" customFormat="1" ht="15.75" x14ac:dyDescent="0.25">
      <c r="A18" s="53">
        <v>28</v>
      </c>
      <c r="B18" s="50" t="s">
        <v>37</v>
      </c>
      <c r="C18" s="143">
        <v>300.13799999999998</v>
      </c>
      <c r="D18" s="54">
        <v>43</v>
      </c>
      <c r="E18" s="41"/>
      <c r="F18" s="42"/>
      <c r="G18" s="42">
        <v>32</v>
      </c>
      <c r="H18" s="42"/>
      <c r="I18" s="42"/>
      <c r="J18" s="148"/>
      <c r="K18" s="148">
        <v>11</v>
      </c>
      <c r="L18" s="148"/>
      <c r="M18" s="148"/>
      <c r="N18" s="43"/>
      <c r="O18" s="43"/>
      <c r="P18" s="43"/>
      <c r="Q18" s="44"/>
      <c r="R18" s="44"/>
      <c r="S18" s="45"/>
      <c r="T18" s="116">
        <f>SUM(E18*F43+F18*H43+G18*H29+J18*K29+K18*Q29+L18*D43)</f>
        <v>31.84</v>
      </c>
      <c r="U18" s="117">
        <f>SUM(J18:L18)*K36</f>
        <v>9.7828499999999998</v>
      </c>
      <c r="V18" s="117">
        <f t="shared" si="0"/>
        <v>5.16</v>
      </c>
      <c r="W18" s="117">
        <f t="shared" si="1"/>
        <v>6.6</v>
      </c>
      <c r="X18" s="117">
        <f t="shared" si="2"/>
        <v>8.8000000000000007</v>
      </c>
      <c r="Y18" s="117">
        <f t="shared" si="3"/>
        <v>34.4</v>
      </c>
      <c r="Z18" s="122"/>
      <c r="AA18" s="117">
        <f t="shared" si="4"/>
        <v>4.4000000000000004</v>
      </c>
      <c r="AB18" s="118">
        <f>(8+7)*1*0.15</f>
        <v>2.25</v>
      </c>
      <c r="AC18" s="122"/>
      <c r="AD18" s="122"/>
    </row>
    <row r="19" spans="1:30" s="52" customFormat="1" ht="15.75" x14ac:dyDescent="0.25">
      <c r="A19" s="49">
        <v>29</v>
      </c>
      <c r="B19" s="50" t="s">
        <v>149</v>
      </c>
      <c r="C19" s="143">
        <v>280</v>
      </c>
      <c r="D19" s="51">
        <v>111</v>
      </c>
      <c r="E19" s="33">
        <v>111</v>
      </c>
      <c r="F19" s="34"/>
      <c r="G19" s="34"/>
      <c r="H19" s="34"/>
      <c r="I19" s="34"/>
      <c r="J19" s="147"/>
      <c r="K19" s="147"/>
      <c r="L19" s="147"/>
      <c r="M19" s="147"/>
      <c r="N19" s="35"/>
      <c r="O19" s="35"/>
      <c r="P19" s="35"/>
      <c r="Q19" s="36"/>
      <c r="R19" s="36"/>
      <c r="S19" s="37"/>
      <c r="T19" s="116">
        <f>SUM(E19*F43+F19*H43+G19*H29+J19*K29+K19*Q29+L19*D43)</f>
        <v>26.64</v>
      </c>
      <c r="U19" s="117">
        <f>SUM(J19:L19)*K36</f>
        <v>0</v>
      </c>
      <c r="V19" s="117">
        <f t="shared" si="0"/>
        <v>13.32</v>
      </c>
      <c r="W19" s="117">
        <f t="shared" si="1"/>
        <v>0</v>
      </c>
      <c r="X19" s="117">
        <f t="shared" si="2"/>
        <v>0</v>
      </c>
      <c r="Y19" s="117">
        <f t="shared" si="3"/>
        <v>88.800000000000011</v>
      </c>
      <c r="Z19" s="121"/>
      <c r="AA19" s="117">
        <f t="shared" si="4"/>
        <v>0</v>
      </c>
      <c r="AB19" s="121"/>
      <c r="AC19" s="121"/>
      <c r="AD19" s="121"/>
    </row>
    <row r="20" spans="1:30" s="52" customFormat="1" ht="16.5" thickBot="1" x14ac:dyDescent="0.3">
      <c r="A20" s="49">
        <v>33</v>
      </c>
      <c r="B20" s="50" t="s">
        <v>38</v>
      </c>
      <c r="C20" s="143">
        <v>105.10599999999999</v>
      </c>
      <c r="D20" s="51"/>
      <c r="E20" s="56"/>
      <c r="F20" s="57"/>
      <c r="G20" s="57"/>
      <c r="H20" s="57"/>
      <c r="I20" s="57"/>
      <c r="J20" s="149"/>
      <c r="K20" s="149"/>
      <c r="L20" s="149"/>
      <c r="M20" s="149"/>
      <c r="N20" s="58"/>
      <c r="O20" s="58"/>
      <c r="P20" s="58"/>
      <c r="Q20" s="59"/>
      <c r="R20" s="59">
        <v>122</v>
      </c>
      <c r="S20" s="60"/>
      <c r="T20" s="116">
        <f>SUM(E20*F43+F20*H43+G20*H29+J20*K29+K20*Q29+L20*D43+Q20*J29+R20*V29)</f>
        <v>675.27</v>
      </c>
      <c r="U20" s="117">
        <f>SUM(J20:L20)*K36</f>
        <v>0</v>
      </c>
      <c r="V20" s="121">
        <v>0</v>
      </c>
      <c r="W20" s="117">
        <f t="shared" si="1"/>
        <v>0</v>
      </c>
      <c r="X20" s="117">
        <f t="shared" si="2"/>
        <v>0</v>
      </c>
      <c r="Y20" s="121">
        <f>SUM(Q20*5+R20*5)</f>
        <v>610</v>
      </c>
      <c r="Z20" s="121">
        <f>SUM(R20*V31)</f>
        <v>234.23999999999998</v>
      </c>
      <c r="AA20" s="117">
        <f>SUM(J20:L20)*0.1*4</f>
        <v>0</v>
      </c>
      <c r="AB20" s="121"/>
      <c r="AC20" s="121"/>
      <c r="AD20" s="121"/>
    </row>
    <row r="21" spans="1:30" s="71" customFormat="1" ht="16.5" thickBot="1" x14ac:dyDescent="0.3">
      <c r="A21" s="61"/>
      <c r="B21" s="62" t="s">
        <v>39</v>
      </c>
      <c r="C21" s="63"/>
      <c r="D21" s="64">
        <f>SUM(D3:D20)</f>
        <v>1782</v>
      </c>
      <c r="E21" s="65">
        <f>SUM(E3:E20)</f>
        <v>721</v>
      </c>
      <c r="F21" s="66">
        <f>SUM(F3:F20)</f>
        <v>819</v>
      </c>
      <c r="G21" s="66">
        <f>SUM(G3:G20)</f>
        <v>64</v>
      </c>
      <c r="H21" s="66">
        <f>SUM(H3:H20)</f>
        <v>0</v>
      </c>
      <c r="I21" s="66"/>
      <c r="J21" s="66">
        <f>SUM(J3:J20)</f>
        <v>69</v>
      </c>
      <c r="K21" s="66">
        <f>SUM(K3:K20)</f>
        <v>109</v>
      </c>
      <c r="L21" s="66">
        <f>SUM(L3:L20)</f>
        <v>0</v>
      </c>
      <c r="M21" s="67"/>
      <c r="N21" s="68"/>
      <c r="O21" s="66"/>
      <c r="P21" s="67"/>
      <c r="Q21" s="150">
        <v>9</v>
      </c>
      <c r="R21" s="69">
        <v>122</v>
      </c>
      <c r="S21" s="70"/>
      <c r="T21" s="123">
        <f t="shared" ref="T21:AD21" si="5">SUM(T3:T20)</f>
        <v>1397.54</v>
      </c>
      <c r="U21" s="123">
        <f t="shared" si="5"/>
        <v>158.30429999999998</v>
      </c>
      <c r="V21" s="123">
        <f t="shared" si="5"/>
        <v>213.84000000000003</v>
      </c>
      <c r="W21" s="123">
        <f t="shared" si="5"/>
        <v>106.79999999999998</v>
      </c>
      <c r="X21" s="123">
        <f t="shared" si="5"/>
        <v>142.40000000000003</v>
      </c>
      <c r="Y21" s="123">
        <f t="shared" si="5"/>
        <v>2035.5999999999997</v>
      </c>
      <c r="Z21" s="123">
        <f t="shared" si="5"/>
        <v>234.23999999999998</v>
      </c>
      <c r="AA21" s="123">
        <f t="shared" si="5"/>
        <v>71.200000000000017</v>
      </c>
      <c r="AB21" s="123">
        <f t="shared" si="5"/>
        <v>13.829999999999998</v>
      </c>
      <c r="AC21" s="123">
        <f t="shared" si="5"/>
        <v>0</v>
      </c>
      <c r="AD21" s="123">
        <f t="shared" si="5"/>
        <v>0</v>
      </c>
    </row>
    <row r="22" spans="1:30" s="112" customFormat="1" ht="15.75" x14ac:dyDescent="0.25">
      <c r="A22" s="109"/>
      <c r="B22" s="109"/>
      <c r="C22" s="109"/>
      <c r="D22" s="110"/>
      <c r="E22" s="110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11"/>
      <c r="T22" s="124"/>
      <c r="U22" s="125"/>
      <c r="V22" s="126"/>
      <c r="W22" s="126"/>
      <c r="X22" s="126"/>
      <c r="Y22" s="126"/>
      <c r="Z22" s="126"/>
      <c r="AA22" s="126"/>
      <c r="AB22" s="126"/>
      <c r="AC22" s="126"/>
      <c r="AD22" s="126"/>
    </row>
    <row r="23" spans="1:30" s="112" customFormat="1" ht="14.25" customHeight="1" x14ac:dyDescent="0.25">
      <c r="A23" s="109"/>
      <c r="B23" s="109"/>
      <c r="C23" s="109"/>
      <c r="D23" s="110"/>
      <c r="E23" s="110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11"/>
      <c r="T23" s="124"/>
      <c r="U23" s="125"/>
      <c r="V23" s="126"/>
      <c r="W23" s="126"/>
      <c r="X23" s="126"/>
      <c r="Y23" s="126"/>
      <c r="Z23" s="126"/>
      <c r="AA23" s="126"/>
      <c r="AB23" s="126"/>
      <c r="AC23" s="126"/>
      <c r="AD23" s="126"/>
    </row>
    <row r="24" spans="1:30" s="38" customFormat="1" x14ac:dyDescent="0.25">
      <c r="B24" s="154"/>
      <c r="C24" s="154"/>
      <c r="D24" s="154"/>
      <c r="E24" s="154"/>
      <c r="F24" s="154"/>
      <c r="G24" s="155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18" t="s">
        <v>136</v>
      </c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</row>
    <row r="25" spans="1:30" s="38" customFormat="1" x14ac:dyDescent="0.25">
      <c r="D25" s="156"/>
      <c r="E25" s="153"/>
      <c r="M25" s="38">
        <f t="shared" ref="M25:P25" si="6">SUM(M24*2)</f>
        <v>0</v>
      </c>
      <c r="N25" s="38">
        <f t="shared" si="6"/>
        <v>0</v>
      </c>
      <c r="O25" s="38">
        <f t="shared" si="6"/>
        <v>0</v>
      </c>
      <c r="P25" s="38">
        <f t="shared" si="6"/>
        <v>0</v>
      </c>
      <c r="Q25" s="156"/>
      <c r="R25" s="156"/>
      <c r="T25" s="118">
        <f>SUM(T21-U21)</f>
        <v>1239.2357</v>
      </c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</row>
    <row r="26" spans="1:30" s="38" customFormat="1" x14ac:dyDescent="0.25">
      <c r="C26" s="38" t="s">
        <v>135</v>
      </c>
      <c r="D26" s="156"/>
      <c r="E26" s="153">
        <v>100</v>
      </c>
      <c r="F26" s="38">
        <v>145</v>
      </c>
      <c r="G26" s="38">
        <v>5</v>
      </c>
      <c r="N26" s="156"/>
      <c r="O26" s="156"/>
      <c r="P26" s="156"/>
      <c r="Q26" s="156"/>
      <c r="R26" s="156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</row>
    <row r="27" spans="1:30" s="38" customFormat="1" x14ac:dyDescent="0.25">
      <c r="C27" s="157"/>
      <c r="D27" s="157"/>
      <c r="E27" s="157"/>
      <c r="F27" s="157"/>
      <c r="G27" s="157"/>
      <c r="H27" s="157"/>
      <c r="I27" s="157"/>
      <c r="J27" s="157"/>
      <c r="K27" s="158"/>
      <c r="L27" s="158"/>
      <c r="M27" s="159"/>
      <c r="N27" s="159"/>
      <c r="O27" s="160"/>
      <c r="P27" s="157"/>
      <c r="Q27" s="157"/>
      <c r="R27" s="157"/>
      <c r="S27" s="157"/>
      <c r="T27" s="161"/>
      <c r="U27" s="161"/>
      <c r="V27" s="161"/>
      <c r="W27" s="161"/>
      <c r="X27" s="161"/>
      <c r="Y27" s="161"/>
      <c r="Z27" s="161"/>
      <c r="AA27" s="161"/>
      <c r="AB27" s="161"/>
      <c r="AC27" s="118"/>
      <c r="AD27" s="118"/>
    </row>
    <row r="28" spans="1:30" s="73" customFormat="1" ht="60" x14ac:dyDescent="0.25">
      <c r="C28" s="129"/>
      <c r="D28" s="129" t="s">
        <v>104</v>
      </c>
      <c r="E28" s="129"/>
      <c r="F28" s="129" t="s">
        <v>0</v>
      </c>
      <c r="G28" s="129"/>
      <c r="H28" s="129" t="s">
        <v>1</v>
      </c>
      <c r="I28" s="129"/>
      <c r="J28" s="129" t="s">
        <v>105</v>
      </c>
      <c r="K28" s="130" t="s">
        <v>106</v>
      </c>
      <c r="L28" s="130" t="s">
        <v>107</v>
      </c>
      <c r="M28" s="131" t="s">
        <v>108</v>
      </c>
      <c r="N28" s="131" t="s">
        <v>109</v>
      </c>
      <c r="O28" s="132"/>
      <c r="P28" s="129" t="s">
        <v>110</v>
      </c>
      <c r="Q28" s="129" t="s">
        <v>110</v>
      </c>
      <c r="R28" s="131"/>
      <c r="S28" s="132"/>
      <c r="T28" s="133"/>
      <c r="U28" s="133"/>
      <c r="V28" s="133" t="s">
        <v>111</v>
      </c>
      <c r="W28" s="133"/>
      <c r="X28" s="133"/>
      <c r="Y28" s="133"/>
      <c r="Z28" s="133"/>
      <c r="AA28" s="133"/>
      <c r="AB28" s="133"/>
      <c r="AC28" s="134"/>
      <c r="AD28" s="134"/>
    </row>
    <row r="29" spans="1:30" s="73" customFormat="1" x14ac:dyDescent="0.25">
      <c r="C29" s="103" t="s">
        <v>112</v>
      </c>
      <c r="D29" s="103">
        <v>0.5</v>
      </c>
      <c r="E29" s="103" t="s">
        <v>113</v>
      </c>
      <c r="F29" s="103">
        <v>1.08</v>
      </c>
      <c r="G29" s="103" t="s">
        <v>113</v>
      </c>
      <c r="H29" s="103">
        <v>0.66500000000000004</v>
      </c>
      <c r="I29" s="103" t="s">
        <v>113</v>
      </c>
      <c r="J29" s="103">
        <f>(0.6+1.4)*0.5*2</f>
        <v>2</v>
      </c>
      <c r="K29" s="135">
        <f>(0.8*1.2*1)</f>
        <v>0.96</v>
      </c>
      <c r="L29" s="135" t="s">
        <v>114</v>
      </c>
      <c r="M29" s="136">
        <v>0</v>
      </c>
      <c r="N29" s="136">
        <v>1250</v>
      </c>
      <c r="O29" s="137">
        <f>(K29*N29)</f>
        <v>1200</v>
      </c>
      <c r="P29" s="103">
        <f>(0.8+1.3)*0.5*0.6+5*4*0.5</f>
        <v>10.63</v>
      </c>
      <c r="Q29" s="135">
        <f>(0.8*1.2*1)</f>
        <v>0.96</v>
      </c>
      <c r="R29" s="136"/>
      <c r="S29" s="137"/>
      <c r="T29" s="138"/>
      <c r="U29" s="138" t="s">
        <v>113</v>
      </c>
      <c r="V29" s="138">
        <f>(1+5.5)*0.5*1.5+V34</f>
        <v>5.5350000000000001</v>
      </c>
      <c r="W29" s="138"/>
      <c r="X29" s="138"/>
      <c r="Y29" s="138"/>
      <c r="Z29" s="138"/>
      <c r="AB29" s="138"/>
      <c r="AC29" s="134"/>
      <c r="AD29" s="134"/>
    </row>
    <row r="30" spans="1:30" s="73" customFormat="1" x14ac:dyDescent="0.25">
      <c r="C30" s="103" t="s">
        <v>115</v>
      </c>
      <c r="D30" s="103">
        <f>(0.8*0.15)</f>
        <v>0.12</v>
      </c>
      <c r="E30" s="103" t="s">
        <v>113</v>
      </c>
      <c r="F30" s="103">
        <f>(0.8*0.15)</f>
        <v>0.12</v>
      </c>
      <c r="G30" s="103" t="s">
        <v>113</v>
      </c>
      <c r="H30" s="103">
        <f>0.15*0.8</f>
        <v>0.12</v>
      </c>
      <c r="I30" s="103" t="s">
        <v>113</v>
      </c>
      <c r="J30" s="103"/>
      <c r="K30" s="135">
        <f>(4*0.1+0.8*0.1)</f>
        <v>0.48000000000000004</v>
      </c>
      <c r="L30" s="135" t="s">
        <v>114</v>
      </c>
      <c r="M30" s="136">
        <v>3500</v>
      </c>
      <c r="N30" s="136">
        <v>2500</v>
      </c>
      <c r="O30" s="137">
        <f>(K30*(M30+N30))</f>
        <v>2880</v>
      </c>
      <c r="P30" s="103">
        <f>(5*4*0.1+0.8*5*0.1)</f>
        <v>2.4</v>
      </c>
      <c r="Q30" s="103">
        <f>(4*0.1+0.8*0.1)</f>
        <v>0.48000000000000004</v>
      </c>
      <c r="R30" s="136"/>
      <c r="S30" s="137"/>
      <c r="T30" s="138"/>
      <c r="U30" s="138" t="s">
        <v>113</v>
      </c>
      <c r="V30" s="138">
        <f>(6.4*0.1)</f>
        <v>0.64000000000000012</v>
      </c>
      <c r="W30" s="138"/>
      <c r="X30" s="138"/>
      <c r="Y30" s="138"/>
      <c r="Z30" s="138"/>
      <c r="AB30" s="138"/>
      <c r="AC30" s="134"/>
      <c r="AD30" s="134"/>
    </row>
    <row r="31" spans="1:30" s="73" customFormat="1" x14ac:dyDescent="0.25">
      <c r="C31" s="103" t="s">
        <v>116</v>
      </c>
      <c r="D31" s="103"/>
      <c r="E31" s="103"/>
      <c r="F31" s="103"/>
      <c r="G31" s="103"/>
      <c r="H31" s="103"/>
      <c r="I31" s="103"/>
      <c r="J31" s="103"/>
      <c r="K31" s="135">
        <f>SUM(4*0.2+2*0.3*0.3*4)</f>
        <v>1.52</v>
      </c>
      <c r="L31" s="135" t="s">
        <v>114</v>
      </c>
      <c r="M31" s="136">
        <v>22500</v>
      </c>
      <c r="N31" s="136">
        <v>5500</v>
      </c>
      <c r="O31" s="137">
        <f t="shared" ref="O31:O33" si="7">(K31*(M31+N31))</f>
        <v>42560</v>
      </c>
      <c r="P31" s="135">
        <f>SUM(5*4*0.2)</f>
        <v>4</v>
      </c>
      <c r="Q31" s="135">
        <f>SUM(4*0.2+0.3*0.3*4*2)</f>
        <v>1.52</v>
      </c>
      <c r="R31" s="136"/>
      <c r="S31" s="137"/>
      <c r="T31" s="138"/>
      <c r="U31" s="138"/>
      <c r="V31" s="138">
        <f>(6.4*0.3)</f>
        <v>1.92</v>
      </c>
      <c r="W31" s="138"/>
      <c r="X31" s="138"/>
      <c r="Y31" s="138"/>
      <c r="Z31" s="138"/>
      <c r="AB31" s="138"/>
      <c r="AC31" s="134"/>
      <c r="AD31" s="134"/>
    </row>
    <row r="32" spans="1:30" s="73" customFormat="1" x14ac:dyDescent="0.25">
      <c r="C32" s="103" t="s">
        <v>117</v>
      </c>
      <c r="D32" s="103"/>
      <c r="E32" s="103"/>
      <c r="F32" s="103"/>
      <c r="G32" s="103"/>
      <c r="H32" s="103"/>
      <c r="I32" s="103"/>
      <c r="J32" s="103"/>
      <c r="K32" s="135">
        <v>1</v>
      </c>
      <c r="L32" s="135"/>
      <c r="M32" s="136">
        <v>5500</v>
      </c>
      <c r="N32" s="136">
        <v>2200</v>
      </c>
      <c r="O32" s="137">
        <f t="shared" si="7"/>
        <v>7700</v>
      </c>
      <c r="P32" s="103">
        <v>5</v>
      </c>
      <c r="Q32" s="103">
        <v>1</v>
      </c>
      <c r="R32" s="136"/>
      <c r="S32" s="137"/>
      <c r="T32" s="138"/>
      <c r="U32" s="138"/>
      <c r="V32" s="138"/>
      <c r="W32" s="138"/>
      <c r="X32" s="138"/>
      <c r="Y32" s="138"/>
      <c r="Z32" s="138"/>
      <c r="AB32" s="138"/>
      <c r="AC32" s="134"/>
      <c r="AD32" s="134"/>
    </row>
    <row r="33" spans="3:30" s="73" customFormat="1" x14ac:dyDescent="0.25">
      <c r="C33" s="103" t="s">
        <v>118</v>
      </c>
      <c r="D33" s="103"/>
      <c r="E33" s="103"/>
      <c r="F33" s="103"/>
      <c r="G33" s="103"/>
      <c r="H33" s="103"/>
      <c r="I33" s="103"/>
      <c r="J33" s="103"/>
      <c r="K33" s="135">
        <v>2</v>
      </c>
      <c r="L33" s="135"/>
      <c r="M33" s="136">
        <v>13000</v>
      </c>
      <c r="N33" s="136">
        <v>2200</v>
      </c>
      <c r="O33" s="137">
        <f t="shared" si="7"/>
        <v>30400</v>
      </c>
      <c r="P33" s="103">
        <v>2</v>
      </c>
      <c r="Q33" s="103">
        <v>2</v>
      </c>
      <c r="R33" s="136"/>
      <c r="S33" s="137"/>
      <c r="T33" s="138"/>
      <c r="U33" s="138"/>
      <c r="V33" s="138"/>
      <c r="W33" s="138"/>
      <c r="X33" s="138"/>
      <c r="Y33" s="138"/>
      <c r="Z33" s="138"/>
      <c r="AB33" s="138"/>
      <c r="AC33" s="134"/>
      <c r="AD33" s="134"/>
    </row>
    <row r="34" spans="3:30" s="73" customFormat="1" x14ac:dyDescent="0.25">
      <c r="C34" s="103" t="s">
        <v>119</v>
      </c>
      <c r="D34" s="103"/>
      <c r="E34" s="103"/>
      <c r="F34" s="103"/>
      <c r="G34" s="103"/>
      <c r="H34" s="103"/>
      <c r="I34" s="103"/>
      <c r="J34" s="103"/>
      <c r="K34" s="135"/>
      <c r="L34" s="135"/>
      <c r="M34" s="136"/>
      <c r="N34" s="136"/>
      <c r="O34" s="137">
        <f>SUM(O29:O33)</f>
        <v>84740</v>
      </c>
      <c r="P34" s="103"/>
      <c r="Q34" s="103"/>
      <c r="R34" s="136"/>
      <c r="S34" s="137"/>
      <c r="T34" s="138"/>
      <c r="U34" s="138" t="s">
        <v>113</v>
      </c>
      <c r="V34" s="138">
        <v>0.66</v>
      </c>
      <c r="W34" s="138"/>
      <c r="X34" s="138"/>
      <c r="Y34" s="138"/>
      <c r="Z34" s="138"/>
      <c r="AB34" s="138"/>
      <c r="AC34" s="134"/>
      <c r="AD34" s="134"/>
    </row>
    <row r="35" spans="3:30" s="73" customFormat="1" x14ac:dyDescent="0.25">
      <c r="C35" s="103" t="s">
        <v>120</v>
      </c>
      <c r="D35" s="103"/>
      <c r="E35" s="103"/>
      <c r="F35" s="103"/>
      <c r="G35" s="103"/>
      <c r="H35" s="103"/>
      <c r="I35" s="103"/>
      <c r="J35" s="103"/>
      <c r="K35" s="135"/>
      <c r="L35" s="135"/>
      <c r="M35" s="136"/>
      <c r="N35" s="136"/>
      <c r="O35" s="137"/>
      <c r="P35" s="103"/>
      <c r="Q35" s="103"/>
      <c r="R35" s="103"/>
      <c r="S35" s="103"/>
      <c r="T35" s="138"/>
      <c r="U35" s="138"/>
      <c r="V35" s="138"/>
      <c r="W35" s="138"/>
      <c r="X35" s="138"/>
      <c r="Y35" s="138"/>
      <c r="Z35" s="138"/>
      <c r="AB35" s="138"/>
      <c r="AC35" s="134"/>
      <c r="AD35" s="134"/>
    </row>
    <row r="36" spans="3:30" s="73" customFormat="1" x14ac:dyDescent="0.25">
      <c r="C36" s="103" t="s">
        <v>121</v>
      </c>
      <c r="D36" s="103"/>
      <c r="E36" s="103"/>
      <c r="F36" s="103"/>
      <c r="G36" s="103"/>
      <c r="H36" s="103"/>
      <c r="I36" s="103"/>
      <c r="J36" s="103"/>
      <c r="K36" s="135">
        <f>SUM(K29-3.14*0.15*0.15)</f>
        <v>0.88934999999999997</v>
      </c>
      <c r="L36" s="135"/>
      <c r="M36" s="136"/>
      <c r="N36" s="136"/>
      <c r="O36" s="137"/>
      <c r="P36" s="135">
        <f>SUM(P29-P30-P31-P32*0.2*0.2)</f>
        <v>4.03</v>
      </c>
      <c r="Q36" s="135">
        <f>SUM(Q29-3.14*0.2*0.2)</f>
        <v>0.83439999999999992</v>
      </c>
      <c r="R36" s="103"/>
      <c r="S36" s="103"/>
      <c r="T36" s="138"/>
      <c r="U36" s="138"/>
      <c r="V36" s="138"/>
      <c r="W36" s="138"/>
      <c r="X36" s="138"/>
      <c r="Y36" s="138"/>
      <c r="Z36" s="138"/>
      <c r="AB36" s="138"/>
      <c r="AC36" s="134"/>
      <c r="AD36" s="134"/>
    </row>
    <row r="37" spans="3:30" s="73" customFormat="1" x14ac:dyDescent="0.25">
      <c r="C37" s="103" t="s">
        <v>122</v>
      </c>
      <c r="D37" s="103"/>
      <c r="E37" s="103"/>
      <c r="F37" s="103"/>
      <c r="G37" s="103"/>
      <c r="H37" s="103"/>
      <c r="I37" s="103"/>
      <c r="J37" s="103"/>
      <c r="K37" s="135"/>
      <c r="L37" s="135"/>
      <c r="M37" s="136"/>
      <c r="N37" s="136"/>
      <c r="O37" s="137"/>
      <c r="P37" s="103"/>
      <c r="Q37" s="103"/>
      <c r="R37" s="103"/>
      <c r="S37" s="103"/>
      <c r="T37" s="138"/>
      <c r="U37" s="138"/>
      <c r="V37" s="138"/>
      <c r="W37" s="138"/>
      <c r="X37" s="138"/>
      <c r="Y37" s="138"/>
      <c r="Z37" s="138"/>
      <c r="AA37" s="138"/>
      <c r="AB37" s="138"/>
      <c r="AC37" s="134"/>
      <c r="AD37" s="134"/>
    </row>
    <row r="38" spans="3:30" s="73" customFormat="1" x14ac:dyDescent="0.25">
      <c r="C38" s="103" t="s">
        <v>139</v>
      </c>
      <c r="D38" s="103"/>
      <c r="E38" s="103"/>
      <c r="F38" s="103"/>
      <c r="G38" s="103"/>
      <c r="H38" s="103"/>
      <c r="I38" s="103"/>
      <c r="J38" s="103"/>
      <c r="K38" s="135"/>
      <c r="L38" s="135"/>
      <c r="M38" s="136"/>
      <c r="N38" s="136"/>
      <c r="O38" s="137"/>
      <c r="P38" s="103"/>
      <c r="Q38" s="103"/>
      <c r="R38" s="103"/>
      <c r="S38" s="103"/>
      <c r="T38" s="138"/>
      <c r="U38" s="138"/>
      <c r="V38" s="138">
        <f>(6.4*0.3*6)</f>
        <v>11.52</v>
      </c>
      <c r="W38" s="138"/>
      <c r="X38" s="138"/>
      <c r="Y38" s="138"/>
      <c r="Z38" s="138"/>
      <c r="AA38" s="138"/>
      <c r="AB38" s="138"/>
      <c r="AC38" s="134"/>
      <c r="AD38" s="134"/>
    </row>
    <row r="39" spans="3:30" s="73" customFormat="1" x14ac:dyDescent="0.25">
      <c r="C39" s="103"/>
      <c r="D39" s="103"/>
      <c r="E39" s="103"/>
      <c r="F39" s="103"/>
      <c r="G39" s="103"/>
      <c r="H39" s="103"/>
      <c r="I39" s="103"/>
      <c r="J39" s="103"/>
      <c r="K39" s="135"/>
      <c r="L39" s="135"/>
      <c r="M39" s="136"/>
      <c r="N39" s="136"/>
      <c r="O39" s="137"/>
      <c r="P39" s="103"/>
      <c r="Q39" s="103"/>
      <c r="R39" s="103"/>
      <c r="S39" s="103"/>
      <c r="T39" s="138"/>
      <c r="U39" s="138"/>
      <c r="V39" s="138"/>
      <c r="W39" s="138"/>
      <c r="X39" s="138"/>
      <c r="Y39" s="138"/>
      <c r="Z39" s="138"/>
      <c r="AA39" s="138"/>
      <c r="AB39" s="138"/>
      <c r="AC39" s="134"/>
      <c r="AD39" s="134"/>
    </row>
    <row r="40" spans="3:30" s="73" customFormat="1" x14ac:dyDescent="0.25">
      <c r="C40" s="103"/>
      <c r="D40" s="103"/>
      <c r="E40" s="103"/>
      <c r="F40" s="103"/>
      <c r="G40" s="103"/>
      <c r="H40" s="103"/>
      <c r="I40" s="103"/>
      <c r="J40" s="103"/>
      <c r="K40" s="135"/>
      <c r="L40" s="135"/>
      <c r="M40" s="136"/>
      <c r="N40" s="136"/>
      <c r="O40" s="137"/>
      <c r="P40" s="103"/>
      <c r="Q40" s="103"/>
      <c r="R40" s="103"/>
      <c r="S40" s="103"/>
      <c r="T40" s="138"/>
      <c r="U40" s="138"/>
      <c r="V40" s="138"/>
      <c r="W40" s="138"/>
      <c r="X40" s="138"/>
      <c r="Y40" s="138"/>
      <c r="Z40" s="138"/>
      <c r="AA40" s="138"/>
      <c r="AB40" s="138"/>
      <c r="AC40" s="134"/>
      <c r="AD40" s="134"/>
    </row>
    <row r="41" spans="3:30" s="73" customFormat="1" x14ac:dyDescent="0.25">
      <c r="C41" s="103"/>
      <c r="D41" s="103"/>
      <c r="E41" s="103"/>
      <c r="F41" s="103"/>
      <c r="G41" s="103"/>
      <c r="H41" s="103"/>
      <c r="I41" s="103"/>
      <c r="J41" s="103"/>
      <c r="K41" s="135"/>
      <c r="L41" s="135"/>
      <c r="M41" s="136"/>
      <c r="N41" s="136"/>
      <c r="O41" s="137"/>
      <c r="P41" s="103"/>
      <c r="Q41" s="103"/>
      <c r="R41" s="103"/>
      <c r="S41" s="103"/>
      <c r="T41" s="138"/>
      <c r="U41" s="138"/>
      <c r="V41" s="138"/>
      <c r="W41" s="138"/>
      <c r="X41" s="138"/>
      <c r="Y41" s="138"/>
      <c r="Z41" s="138"/>
      <c r="AA41" s="138"/>
      <c r="AB41" s="138"/>
      <c r="AC41" s="134"/>
      <c r="AD41" s="134"/>
    </row>
    <row r="42" spans="3:30" s="73" customFormat="1" x14ac:dyDescent="0.25">
      <c r="C42" s="103"/>
      <c r="D42" s="103" t="s">
        <v>123</v>
      </c>
      <c r="E42" s="103"/>
      <c r="F42" s="103" t="s">
        <v>150</v>
      </c>
      <c r="G42" s="103"/>
      <c r="H42" s="103" t="s">
        <v>2</v>
      </c>
      <c r="I42" s="103" t="s">
        <v>124</v>
      </c>
      <c r="J42" s="103"/>
      <c r="K42" s="135" t="s">
        <v>125</v>
      </c>
      <c r="L42" s="135"/>
      <c r="M42" s="103" t="s">
        <v>105</v>
      </c>
      <c r="N42" s="136"/>
      <c r="O42" s="137"/>
      <c r="P42" s="103"/>
      <c r="Q42" s="103"/>
      <c r="R42" s="103"/>
      <c r="S42" s="103"/>
      <c r="T42" s="138"/>
      <c r="U42" s="138"/>
      <c r="V42" s="138"/>
      <c r="W42" s="138"/>
      <c r="X42" s="138"/>
      <c r="Y42" s="138"/>
      <c r="Z42" s="138"/>
      <c r="AA42" s="138"/>
      <c r="AB42" s="138"/>
      <c r="AC42" s="134"/>
      <c r="AD42" s="134"/>
    </row>
    <row r="43" spans="3:30" s="73" customFormat="1" x14ac:dyDescent="0.25">
      <c r="C43" s="103" t="s">
        <v>112</v>
      </c>
      <c r="D43" s="103">
        <f>(1*2)</f>
        <v>2</v>
      </c>
      <c r="E43" s="103" t="s">
        <v>113</v>
      </c>
      <c r="F43" s="103">
        <v>0.24</v>
      </c>
      <c r="G43" s="103"/>
      <c r="H43" s="103">
        <v>0.41</v>
      </c>
      <c r="I43" s="103">
        <f>(1*2)</f>
        <v>2</v>
      </c>
      <c r="J43" s="103"/>
      <c r="K43" s="135">
        <v>2.1</v>
      </c>
      <c r="L43" s="135"/>
      <c r="M43" s="103">
        <v>1.89</v>
      </c>
      <c r="N43" s="136" t="s">
        <v>126</v>
      </c>
      <c r="O43" s="137"/>
      <c r="P43" s="103"/>
      <c r="Q43" s="103"/>
      <c r="R43" s="103"/>
      <c r="S43" s="103"/>
      <c r="T43" s="138"/>
      <c r="U43" s="138"/>
      <c r="V43" s="138"/>
      <c r="W43" s="138"/>
      <c r="X43" s="138"/>
      <c r="Y43" s="138"/>
      <c r="Z43" s="138"/>
      <c r="AA43" s="138"/>
      <c r="AB43" s="138"/>
      <c r="AC43" s="134"/>
      <c r="AD43" s="134"/>
    </row>
    <row r="44" spans="3:30" s="73" customFormat="1" x14ac:dyDescent="0.25">
      <c r="C44" s="103" t="s">
        <v>115</v>
      </c>
      <c r="D44" s="103">
        <f>(1*0.1)</f>
        <v>0.1</v>
      </c>
      <c r="E44" s="103" t="s">
        <v>113</v>
      </c>
      <c r="F44" s="103">
        <f>(0.4*0.01)</f>
        <v>4.0000000000000001E-3</v>
      </c>
      <c r="G44" s="103"/>
      <c r="H44" s="103">
        <f>(0.5*0.1)</f>
        <v>0.05</v>
      </c>
      <c r="I44" s="103">
        <f>(I43-0.25*0.25*3.14)</f>
        <v>1.80375</v>
      </c>
      <c r="J44" s="103"/>
      <c r="K44" s="135">
        <f>SUM(1*0.1)</f>
        <v>0.1</v>
      </c>
      <c r="L44" s="135"/>
      <c r="M44" s="103" t="s">
        <v>3</v>
      </c>
      <c r="N44" s="136"/>
      <c r="O44" s="137"/>
      <c r="P44" s="103"/>
      <c r="Q44" s="103"/>
      <c r="R44" s="103"/>
      <c r="S44" s="103"/>
      <c r="T44" s="138"/>
      <c r="U44" s="138"/>
      <c r="V44" s="138"/>
      <c r="W44" s="138"/>
      <c r="X44" s="138"/>
      <c r="Y44" s="138"/>
      <c r="Z44" s="138"/>
      <c r="AA44" s="138"/>
      <c r="AB44" s="138"/>
      <c r="AC44" s="134"/>
      <c r="AD44" s="134"/>
    </row>
    <row r="45" spans="3:30" s="73" customFormat="1" x14ac:dyDescent="0.25">
      <c r="C45" s="103" t="s">
        <v>116</v>
      </c>
      <c r="D45" s="135">
        <f>SUM(4*0.2+0.3*0.3*4*2)</f>
        <v>1.52</v>
      </c>
      <c r="E45" s="103"/>
      <c r="F45" s="103"/>
      <c r="G45" s="103"/>
      <c r="H45" s="103"/>
      <c r="I45" s="103">
        <f>SUM(1*0.1)</f>
        <v>0.1</v>
      </c>
      <c r="J45" s="103"/>
      <c r="K45" s="135"/>
      <c r="L45" s="135"/>
      <c r="M45" s="103"/>
      <c r="N45" s="136"/>
      <c r="O45" s="137"/>
      <c r="P45" s="103"/>
      <c r="Q45" s="103"/>
      <c r="R45" s="103"/>
      <c r="S45" s="103"/>
      <c r="T45" s="138"/>
      <c r="U45" s="138"/>
      <c r="V45" s="138"/>
      <c r="W45" s="138"/>
      <c r="X45" s="138"/>
      <c r="Y45" s="138"/>
      <c r="Z45" s="138"/>
      <c r="AA45" s="138"/>
      <c r="AB45" s="138"/>
      <c r="AC45" s="134"/>
      <c r="AD45" s="134"/>
    </row>
    <row r="46" spans="3:30" s="73" customFormat="1" x14ac:dyDescent="0.25">
      <c r="C46" s="103" t="s">
        <v>117</v>
      </c>
      <c r="D46" s="103">
        <v>1</v>
      </c>
      <c r="E46" s="103"/>
      <c r="F46" s="103"/>
      <c r="G46" s="103"/>
      <c r="H46" s="103"/>
      <c r="I46" s="103"/>
      <c r="J46" s="103"/>
      <c r="K46" s="135"/>
      <c r="L46" s="135"/>
      <c r="M46" s="103"/>
      <c r="N46" s="136"/>
      <c r="O46" s="137"/>
      <c r="P46" s="103"/>
      <c r="Q46" s="103"/>
      <c r="R46" s="103"/>
      <c r="S46" s="103"/>
      <c r="T46" s="138"/>
      <c r="U46" s="138"/>
      <c r="V46" s="138"/>
      <c r="W46" s="138"/>
      <c r="X46" s="138"/>
      <c r="Y46" s="138"/>
      <c r="Z46" s="138"/>
      <c r="AA46" s="138"/>
      <c r="AB46" s="138"/>
      <c r="AC46" s="134"/>
      <c r="AD46" s="134"/>
    </row>
    <row r="47" spans="3:30" s="73" customFormat="1" x14ac:dyDescent="0.25">
      <c r="C47" s="103" t="s">
        <v>118</v>
      </c>
      <c r="D47" s="103">
        <v>2</v>
      </c>
      <c r="E47" s="103"/>
      <c r="F47" s="103"/>
      <c r="G47" s="103"/>
      <c r="H47" s="103"/>
      <c r="I47" s="103">
        <v>2</v>
      </c>
      <c r="J47" s="103"/>
      <c r="K47" s="135"/>
      <c r="L47" s="135"/>
      <c r="M47" s="103"/>
      <c r="N47" s="136"/>
      <c r="O47" s="137"/>
      <c r="P47" s="103"/>
      <c r="Q47" s="103"/>
      <c r="R47" s="103"/>
      <c r="S47" s="103"/>
      <c r="T47" s="138"/>
      <c r="U47" s="138"/>
      <c r="V47" s="138"/>
      <c r="W47" s="138"/>
      <c r="X47" s="138"/>
      <c r="Y47" s="138"/>
      <c r="Z47" s="138"/>
      <c r="AA47" s="138"/>
      <c r="AB47" s="138"/>
      <c r="AC47" s="134"/>
      <c r="AD47" s="134"/>
    </row>
    <row r="48" spans="3:30" s="73" customFormat="1" x14ac:dyDescent="0.25">
      <c r="C48" s="103" t="s">
        <v>119</v>
      </c>
      <c r="D48" s="103"/>
      <c r="E48" s="103"/>
      <c r="F48" s="103"/>
      <c r="G48" s="103"/>
      <c r="H48" s="103"/>
      <c r="I48" s="103"/>
      <c r="J48" s="103"/>
      <c r="K48" s="135"/>
      <c r="L48" s="135"/>
      <c r="M48" s="103"/>
      <c r="N48" s="136"/>
      <c r="O48" s="137"/>
      <c r="P48" s="103"/>
      <c r="Q48" s="103"/>
      <c r="R48" s="103"/>
      <c r="S48" s="103"/>
      <c r="T48" s="138"/>
      <c r="U48" s="138"/>
      <c r="V48" s="138"/>
      <c r="W48" s="138"/>
      <c r="X48" s="138"/>
      <c r="Y48" s="138"/>
      <c r="Z48" s="138"/>
      <c r="AA48" s="138"/>
      <c r="AB48" s="138"/>
      <c r="AC48" s="134"/>
      <c r="AD48" s="134"/>
    </row>
    <row r="49" spans="1:30" s="73" customFormat="1" x14ac:dyDescent="0.25">
      <c r="C49" s="103" t="s">
        <v>120</v>
      </c>
      <c r="D49" s="103"/>
      <c r="E49" s="103"/>
      <c r="F49" s="103"/>
      <c r="G49" s="103"/>
      <c r="H49" s="103"/>
      <c r="I49" s="103"/>
      <c r="J49" s="103"/>
      <c r="K49" s="135"/>
      <c r="L49" s="135"/>
      <c r="M49" s="103"/>
      <c r="N49" s="136"/>
      <c r="O49" s="137"/>
      <c r="P49" s="103"/>
      <c r="Q49" s="103"/>
      <c r="R49" s="103"/>
      <c r="S49" s="103"/>
      <c r="T49" s="138"/>
      <c r="U49" s="138"/>
      <c r="V49" s="138"/>
      <c r="W49" s="138"/>
      <c r="X49" s="138"/>
      <c r="Y49" s="138"/>
      <c r="Z49" s="138"/>
      <c r="AA49" s="138"/>
      <c r="AB49" s="138"/>
      <c r="AC49" s="134"/>
      <c r="AD49" s="134"/>
    </row>
    <row r="50" spans="1:30" s="73" customFormat="1" x14ac:dyDescent="0.25">
      <c r="C50" s="103" t="s">
        <v>121</v>
      </c>
      <c r="D50" s="103">
        <f>SUM(D43-0.3*0.3*3.14)</f>
        <v>1.7174</v>
      </c>
      <c r="E50" s="103"/>
      <c r="F50" s="103"/>
      <c r="G50" s="103"/>
      <c r="H50" s="103"/>
      <c r="I50" s="135">
        <f>((0.8+1.3)*0.5*0.6-0.25*0.25*3.14)*5</f>
        <v>2.1687499999999997</v>
      </c>
      <c r="J50" s="103"/>
      <c r="K50" s="135"/>
      <c r="L50" s="135"/>
      <c r="M50" s="103"/>
      <c r="N50" s="136"/>
      <c r="O50" s="137"/>
      <c r="P50" s="103"/>
      <c r="Q50" s="103"/>
      <c r="R50" s="103"/>
      <c r="S50" s="103"/>
      <c r="T50" s="138"/>
      <c r="U50" s="138"/>
      <c r="V50" s="138"/>
      <c r="W50" s="138"/>
      <c r="X50" s="138"/>
      <c r="Y50" s="138"/>
      <c r="Z50" s="138"/>
      <c r="AA50" s="138"/>
      <c r="AB50" s="138"/>
      <c r="AC50" s="134"/>
      <c r="AD50" s="134"/>
    </row>
    <row r="51" spans="1:30" s="73" customFormat="1" x14ac:dyDescent="0.25">
      <c r="C51" s="103"/>
      <c r="D51" s="103"/>
      <c r="E51" s="103"/>
      <c r="F51" s="103"/>
      <c r="G51" s="103"/>
      <c r="H51" s="103"/>
      <c r="I51" s="103"/>
      <c r="J51" s="103"/>
      <c r="K51" s="135"/>
      <c r="L51" s="135"/>
      <c r="M51" s="136"/>
      <c r="N51" s="136"/>
      <c r="O51" s="137"/>
      <c r="P51" s="103"/>
      <c r="Q51" s="103"/>
      <c r="R51" s="103"/>
      <c r="S51" s="103"/>
      <c r="T51" s="138"/>
      <c r="U51" s="138"/>
      <c r="V51" s="138"/>
      <c r="W51" s="138"/>
      <c r="X51" s="138"/>
      <c r="Y51" s="138"/>
      <c r="Z51" s="138"/>
      <c r="AA51" s="138"/>
      <c r="AB51" s="138"/>
      <c r="AC51" s="134"/>
      <c r="AD51" s="134"/>
    </row>
    <row r="52" spans="1:30" s="73" customFormat="1" x14ac:dyDescent="0.25">
      <c r="C52" s="103"/>
      <c r="D52" s="103"/>
      <c r="E52" s="103"/>
      <c r="F52" s="103"/>
      <c r="G52" s="103"/>
      <c r="H52" s="103"/>
      <c r="I52" s="103"/>
      <c r="J52" s="103"/>
      <c r="K52" s="135"/>
      <c r="L52" s="135"/>
      <c r="M52" s="136"/>
      <c r="N52" s="136"/>
      <c r="O52" s="137"/>
      <c r="P52" s="103"/>
      <c r="Q52" s="103"/>
      <c r="R52" s="103"/>
      <c r="S52" s="103"/>
      <c r="T52" s="138"/>
      <c r="U52" s="138"/>
      <c r="V52" s="138"/>
      <c r="W52" s="138"/>
      <c r="X52" s="138"/>
      <c r="Y52" s="138"/>
      <c r="Z52" s="138"/>
      <c r="AA52" s="138"/>
      <c r="AB52" s="138"/>
      <c r="AC52" s="134"/>
      <c r="AD52" s="134"/>
    </row>
    <row r="53" spans="1:30" s="73" customFormat="1" x14ac:dyDescent="0.25">
      <c r="C53" s="103"/>
      <c r="D53" s="103"/>
      <c r="E53" s="103"/>
      <c r="F53" s="103"/>
      <c r="G53" s="103"/>
      <c r="H53" s="103"/>
      <c r="I53" s="103"/>
      <c r="J53" s="103"/>
      <c r="K53" s="135"/>
      <c r="L53" s="135"/>
      <c r="M53" s="136"/>
      <c r="N53" s="136"/>
      <c r="O53" s="137"/>
      <c r="P53" s="103"/>
      <c r="Q53" s="103"/>
      <c r="R53" s="103"/>
      <c r="S53" s="103"/>
      <c r="T53" s="138"/>
      <c r="U53" s="138"/>
      <c r="V53" s="138"/>
      <c r="W53" s="138"/>
      <c r="X53" s="138"/>
      <c r="Y53" s="138"/>
      <c r="Z53" s="138"/>
      <c r="AA53" s="138"/>
      <c r="AB53" s="138"/>
      <c r="AC53" s="134"/>
      <c r="AD53" s="134"/>
    </row>
    <row r="54" spans="1:30" s="73" customFormat="1" x14ac:dyDescent="0.25">
      <c r="C54" s="103"/>
      <c r="D54" s="103"/>
      <c r="E54" s="103"/>
      <c r="F54" s="103"/>
      <c r="G54" s="103"/>
      <c r="H54" s="103"/>
      <c r="I54" s="103"/>
      <c r="J54" s="103"/>
      <c r="K54" s="135"/>
      <c r="L54" s="135"/>
      <c r="M54" s="136"/>
      <c r="N54" s="136"/>
      <c r="O54" s="137"/>
      <c r="P54" s="103"/>
      <c r="Q54" s="103"/>
      <c r="R54" s="103"/>
      <c r="S54" s="103"/>
      <c r="T54" s="138"/>
      <c r="U54" s="138"/>
      <c r="V54" s="138"/>
      <c r="W54" s="138"/>
      <c r="X54" s="138"/>
      <c r="Y54" s="138"/>
      <c r="Z54" s="138"/>
      <c r="AA54" s="138"/>
      <c r="AB54" s="138"/>
      <c r="AC54" s="134"/>
      <c r="AD54" s="134"/>
    </row>
    <row r="55" spans="1:30" s="73" customFormat="1" x14ac:dyDescent="0.25">
      <c r="C55" s="103"/>
      <c r="D55" s="103"/>
      <c r="E55" s="103"/>
      <c r="F55" s="103"/>
      <c r="G55" s="103"/>
      <c r="H55" s="103"/>
      <c r="I55" s="103"/>
      <c r="J55" s="103"/>
      <c r="K55" s="135"/>
      <c r="L55" s="135"/>
      <c r="M55" s="136"/>
      <c r="N55" s="136"/>
      <c r="O55" s="137"/>
      <c r="P55" s="103"/>
      <c r="Q55" s="103"/>
      <c r="R55" s="103"/>
      <c r="S55" s="103"/>
      <c r="T55" s="138"/>
      <c r="U55" s="138"/>
      <c r="V55" s="138"/>
      <c r="W55" s="138"/>
      <c r="X55" s="138"/>
      <c r="Y55" s="138"/>
      <c r="Z55" s="138"/>
      <c r="AA55" s="138"/>
      <c r="AB55" s="138"/>
      <c r="AC55" s="134"/>
      <c r="AD55" s="134"/>
    </row>
    <row r="56" spans="1:30" s="72" customFormat="1" x14ac:dyDescent="0.25">
      <c r="C56"/>
      <c r="D56"/>
      <c r="E56"/>
      <c r="F56"/>
      <c r="G56"/>
      <c r="H56"/>
      <c r="I56"/>
      <c r="J56"/>
      <c r="K56" s="106"/>
      <c r="L56" s="106"/>
      <c r="M56" s="107"/>
      <c r="N56" s="107"/>
      <c r="O56" s="108"/>
      <c r="P56"/>
      <c r="Q56"/>
      <c r="R56"/>
      <c r="S56"/>
      <c r="T56" s="128"/>
      <c r="U56" s="128"/>
      <c r="V56" s="128"/>
      <c r="W56" s="128"/>
      <c r="X56" s="128"/>
      <c r="Y56" s="128"/>
      <c r="Z56" s="128"/>
      <c r="AA56" s="128"/>
      <c r="AB56" s="128"/>
      <c r="AC56" s="127"/>
      <c r="AD56" s="127"/>
    </row>
    <row r="57" spans="1:30" s="72" customFormat="1" x14ac:dyDescent="0.25">
      <c r="C57"/>
      <c r="D57"/>
      <c r="E57"/>
      <c r="F57"/>
      <c r="G57"/>
      <c r="H57"/>
      <c r="I57"/>
      <c r="J57"/>
      <c r="K57" s="106"/>
      <c r="L57" s="106"/>
      <c r="M57" s="107"/>
      <c r="N57" s="107"/>
      <c r="O57" s="108"/>
      <c r="P57"/>
      <c r="Q57"/>
      <c r="R57"/>
      <c r="S57"/>
      <c r="T57" s="128"/>
      <c r="U57" s="128"/>
      <c r="V57" s="128"/>
      <c r="W57" s="128"/>
      <c r="X57" s="128"/>
      <c r="Y57" s="128"/>
      <c r="Z57" s="128"/>
      <c r="AA57" s="128"/>
      <c r="AB57" s="128"/>
      <c r="AC57" s="127"/>
      <c r="AD57" s="127"/>
    </row>
    <row r="58" spans="1:30" s="72" customFormat="1" x14ac:dyDescent="0.25">
      <c r="C58"/>
      <c r="D58"/>
      <c r="E58"/>
      <c r="F58"/>
      <c r="G58"/>
      <c r="H58"/>
      <c r="I58"/>
      <c r="J58"/>
      <c r="K58" s="106"/>
      <c r="L58" s="106"/>
      <c r="M58" s="107"/>
      <c r="N58" s="107"/>
      <c r="O58" s="108"/>
      <c r="P58"/>
      <c r="Q58"/>
      <c r="R58"/>
      <c r="S58"/>
      <c r="T58" s="128"/>
      <c r="U58" s="128"/>
      <c r="V58" s="128"/>
      <c r="W58" s="128"/>
      <c r="X58" s="128"/>
      <c r="Y58" s="128"/>
      <c r="Z58" s="128"/>
      <c r="AA58" s="128"/>
      <c r="AB58" s="128"/>
      <c r="AC58" s="127"/>
      <c r="AD58" s="127"/>
    </row>
    <row r="59" spans="1:30" s="72" customFormat="1" x14ac:dyDescent="0.25">
      <c r="C59"/>
      <c r="D59"/>
      <c r="E59"/>
      <c r="F59"/>
      <c r="G59"/>
      <c r="H59"/>
      <c r="I59"/>
      <c r="J59"/>
      <c r="K59" s="106"/>
      <c r="L59" s="106"/>
      <c r="M59" s="107"/>
      <c r="N59" s="107"/>
      <c r="O59" s="108"/>
      <c r="P59"/>
      <c r="Q59"/>
      <c r="R59"/>
      <c r="S59"/>
      <c r="T59" s="128"/>
      <c r="U59" s="128"/>
      <c r="V59" s="128"/>
      <c r="W59" s="128"/>
      <c r="X59" s="128"/>
      <c r="Y59" s="128"/>
      <c r="Z59" s="128"/>
      <c r="AA59" s="128"/>
      <c r="AB59" s="128"/>
      <c r="AC59" s="127"/>
      <c r="AD59" s="127"/>
    </row>
    <row r="60" spans="1:30" s="72" customFormat="1" x14ac:dyDescent="0.25">
      <c r="C60"/>
      <c r="D60"/>
      <c r="E60"/>
      <c r="F60"/>
      <c r="G60"/>
      <c r="H60"/>
      <c r="I60"/>
      <c r="J60"/>
      <c r="K60" s="106"/>
      <c r="L60" s="106"/>
      <c r="M60" s="107"/>
      <c r="N60" s="107"/>
      <c r="O60" s="108"/>
      <c r="P60"/>
      <c r="Q60"/>
      <c r="R60"/>
      <c r="S60"/>
      <c r="T60" s="128"/>
      <c r="U60" s="128"/>
      <c r="V60" s="128"/>
      <c r="W60" s="128"/>
      <c r="X60" s="128"/>
      <c r="Y60" s="128"/>
      <c r="Z60" s="128"/>
      <c r="AA60" s="128"/>
      <c r="AB60" s="128"/>
      <c r="AC60" s="127"/>
      <c r="AD60" s="127"/>
    </row>
    <row r="61" spans="1:30" s="72" customFormat="1" x14ac:dyDescent="0.25">
      <c r="C61"/>
      <c r="D61"/>
      <c r="E61"/>
      <c r="F61"/>
      <c r="G61"/>
      <c r="H61"/>
      <c r="I61"/>
      <c r="J61"/>
      <c r="K61" s="106"/>
      <c r="L61" s="106"/>
      <c r="M61" s="107"/>
      <c r="N61" s="107"/>
      <c r="O61" s="108"/>
      <c r="P61"/>
      <c r="Q61"/>
      <c r="R61"/>
      <c r="S61"/>
      <c r="T61" s="128"/>
      <c r="U61" s="128"/>
      <c r="V61" s="128"/>
      <c r="W61" s="128"/>
      <c r="X61" s="128"/>
      <c r="Y61" s="128"/>
      <c r="Z61" s="128"/>
      <c r="AA61" s="128"/>
      <c r="AB61" s="128"/>
      <c r="AC61" s="127"/>
      <c r="AD61" s="127"/>
    </row>
    <row r="62" spans="1:30" x14ac:dyDescent="0.25">
      <c r="A62" s="72"/>
      <c r="B62" s="72"/>
      <c r="C62"/>
      <c r="D62"/>
      <c r="E62"/>
      <c r="F62"/>
      <c r="G62"/>
      <c r="H62"/>
      <c r="I62"/>
      <c r="J62"/>
      <c r="K62" s="106"/>
      <c r="L62" s="106"/>
      <c r="M62" s="107"/>
      <c r="N62" s="107"/>
      <c r="O62" s="108"/>
      <c r="P62"/>
    </row>
    <row r="63" spans="1:30" x14ac:dyDescent="0.25">
      <c r="A63" s="72"/>
      <c r="B63" s="72"/>
      <c r="C63"/>
      <c r="D63"/>
      <c r="E63"/>
      <c r="F63"/>
      <c r="G63"/>
      <c r="H63"/>
      <c r="I63"/>
      <c r="J63"/>
      <c r="K63" s="106"/>
      <c r="L63" s="106"/>
      <c r="M63" s="107"/>
      <c r="N63" s="107"/>
      <c r="O63" s="108"/>
      <c r="P63"/>
    </row>
    <row r="64" spans="1:30" x14ac:dyDescent="0.25">
      <c r="A64" s="72"/>
      <c r="B64" s="72"/>
      <c r="C64"/>
      <c r="D64"/>
      <c r="E64"/>
      <c r="F64"/>
      <c r="G64"/>
      <c r="H64"/>
      <c r="I64"/>
      <c r="J64"/>
      <c r="K64" s="106"/>
      <c r="L64" s="106"/>
      <c r="M64" s="107"/>
      <c r="N64" s="107"/>
      <c r="O64" s="108"/>
      <c r="P64"/>
    </row>
    <row r="65" spans="1:16" x14ac:dyDescent="0.25">
      <c r="A65" s="72"/>
      <c r="B65" s="72"/>
      <c r="C65"/>
      <c r="D65"/>
      <c r="E65"/>
      <c r="F65"/>
      <c r="G65"/>
      <c r="H65"/>
      <c r="I65"/>
      <c r="J65"/>
      <c r="K65" s="106"/>
      <c r="L65" s="106"/>
      <c r="M65" s="107"/>
      <c r="N65" s="107"/>
      <c r="O65" s="108"/>
      <c r="P65"/>
    </row>
    <row r="66" spans="1:16" x14ac:dyDescent="0.25">
      <c r="C66"/>
      <c r="D66"/>
      <c r="E66"/>
      <c r="F66"/>
      <c r="G66"/>
      <c r="H66"/>
      <c r="I66"/>
      <c r="J66"/>
      <c r="K66" s="106"/>
      <c r="L66" s="106"/>
      <c r="M66" s="107"/>
      <c r="N66" s="107"/>
      <c r="O66" s="108"/>
      <c r="P66"/>
    </row>
  </sheetData>
  <mergeCells count="4">
    <mergeCell ref="E1:H1"/>
    <mergeCell ref="J1:M1"/>
    <mergeCell ref="N1:P1"/>
    <mergeCell ref="L2:M2"/>
  </mergeCells>
  <pageMargins left="0.70866141732283472" right="0.70866141732283472" top="0.74803149606299213" bottom="0.74803149606299213" header="0.31496062992125984" footer="0.31496062992125984"/>
  <pageSetup paperSize="8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4"/>
  <sheetViews>
    <sheetView tabSelected="1" zoomScaleNormal="100" zoomScaleSheetLayoutView="80" workbookViewId="0">
      <selection activeCell="I22" sqref="I22"/>
    </sheetView>
  </sheetViews>
  <sheetFormatPr defaultRowHeight="15" x14ac:dyDescent="0.25"/>
  <cols>
    <col min="1" max="1" width="24.42578125" style="166" bestFit="1" customWidth="1"/>
    <col min="2" max="2" width="47.85546875" style="171" customWidth="1"/>
    <col min="3" max="3" width="9.7109375" style="166" bestFit="1" customWidth="1"/>
    <col min="4" max="4" width="9.140625" style="196"/>
    <col min="5" max="5" width="9.28515625" style="176" bestFit="1" customWidth="1"/>
    <col min="6" max="6" width="10.7109375" style="176" customWidth="1"/>
    <col min="7" max="7" width="12" style="176" bestFit="1" customWidth="1"/>
    <col min="8" max="8" width="12.85546875" style="176" customWidth="1"/>
    <col min="9" max="9" width="10.140625" style="88" bestFit="1" customWidth="1"/>
    <col min="10" max="10" width="25.7109375" style="103" bestFit="1" customWidth="1"/>
    <col min="11" max="11" width="16.5703125" style="88" customWidth="1"/>
    <col min="12" max="12" width="20.140625" style="88" customWidth="1"/>
    <col min="13" max="257" width="9.140625" style="88"/>
    <col min="258" max="258" width="24.42578125" style="88" bestFit="1" customWidth="1"/>
    <col min="259" max="259" width="16.5703125" style="88" customWidth="1"/>
    <col min="260" max="260" width="47.85546875" style="88" customWidth="1"/>
    <col min="261" max="262" width="9.140625" style="88"/>
    <col min="263" max="263" width="10.7109375" style="88" customWidth="1"/>
    <col min="264" max="264" width="12.85546875" style="88" customWidth="1"/>
    <col min="265" max="265" width="10.140625" style="88" bestFit="1" customWidth="1"/>
    <col min="266" max="266" width="9.140625" style="88"/>
    <col min="267" max="267" width="16.5703125" style="88" customWidth="1"/>
    <col min="268" max="268" width="20.140625" style="88" customWidth="1"/>
    <col min="269" max="513" width="9.140625" style="88"/>
    <col min="514" max="514" width="24.42578125" style="88" bestFit="1" customWidth="1"/>
    <col min="515" max="515" width="16.5703125" style="88" customWidth="1"/>
    <col min="516" max="516" width="47.85546875" style="88" customWidth="1"/>
    <col min="517" max="518" width="9.140625" style="88"/>
    <col min="519" max="519" width="10.7109375" style="88" customWidth="1"/>
    <col min="520" max="520" width="12.85546875" style="88" customWidth="1"/>
    <col min="521" max="521" width="10.140625" style="88" bestFit="1" customWidth="1"/>
    <col min="522" max="522" width="9.140625" style="88"/>
    <col min="523" max="523" width="16.5703125" style="88" customWidth="1"/>
    <col min="524" max="524" width="20.140625" style="88" customWidth="1"/>
    <col min="525" max="769" width="9.140625" style="88"/>
    <col min="770" max="770" width="24.42578125" style="88" bestFit="1" customWidth="1"/>
    <col min="771" max="771" width="16.5703125" style="88" customWidth="1"/>
    <col min="772" max="772" width="47.85546875" style="88" customWidth="1"/>
    <col min="773" max="774" width="9.140625" style="88"/>
    <col min="775" max="775" width="10.7109375" style="88" customWidth="1"/>
    <col min="776" max="776" width="12.85546875" style="88" customWidth="1"/>
    <col min="777" max="777" width="10.140625" style="88" bestFit="1" customWidth="1"/>
    <col min="778" max="778" width="9.140625" style="88"/>
    <col min="779" max="779" width="16.5703125" style="88" customWidth="1"/>
    <col min="780" max="780" width="20.140625" style="88" customWidth="1"/>
    <col min="781" max="1025" width="9.140625" style="88"/>
    <col min="1026" max="1026" width="24.42578125" style="88" bestFit="1" customWidth="1"/>
    <col min="1027" max="1027" width="16.5703125" style="88" customWidth="1"/>
    <col min="1028" max="1028" width="47.85546875" style="88" customWidth="1"/>
    <col min="1029" max="1030" width="9.140625" style="88"/>
    <col min="1031" max="1031" width="10.7109375" style="88" customWidth="1"/>
    <col min="1032" max="1032" width="12.85546875" style="88" customWidth="1"/>
    <col min="1033" max="1033" width="10.140625" style="88" bestFit="1" customWidth="1"/>
    <col min="1034" max="1034" width="9.140625" style="88"/>
    <col min="1035" max="1035" width="16.5703125" style="88" customWidth="1"/>
    <col min="1036" max="1036" width="20.140625" style="88" customWidth="1"/>
    <col min="1037" max="1281" width="9.140625" style="88"/>
    <col min="1282" max="1282" width="24.42578125" style="88" bestFit="1" customWidth="1"/>
    <col min="1283" max="1283" width="16.5703125" style="88" customWidth="1"/>
    <col min="1284" max="1284" width="47.85546875" style="88" customWidth="1"/>
    <col min="1285" max="1286" width="9.140625" style="88"/>
    <col min="1287" max="1287" width="10.7109375" style="88" customWidth="1"/>
    <col min="1288" max="1288" width="12.85546875" style="88" customWidth="1"/>
    <col min="1289" max="1289" width="10.140625" style="88" bestFit="1" customWidth="1"/>
    <col min="1290" max="1290" width="9.140625" style="88"/>
    <col min="1291" max="1291" width="16.5703125" style="88" customWidth="1"/>
    <col min="1292" max="1292" width="20.140625" style="88" customWidth="1"/>
    <col min="1293" max="1537" width="9.140625" style="88"/>
    <col min="1538" max="1538" width="24.42578125" style="88" bestFit="1" customWidth="1"/>
    <col min="1539" max="1539" width="16.5703125" style="88" customWidth="1"/>
    <col min="1540" max="1540" width="47.85546875" style="88" customWidth="1"/>
    <col min="1541" max="1542" width="9.140625" style="88"/>
    <col min="1543" max="1543" width="10.7109375" style="88" customWidth="1"/>
    <col min="1544" max="1544" width="12.85546875" style="88" customWidth="1"/>
    <col min="1545" max="1545" width="10.140625" style="88" bestFit="1" customWidth="1"/>
    <col min="1546" max="1546" width="9.140625" style="88"/>
    <col min="1547" max="1547" width="16.5703125" style="88" customWidth="1"/>
    <col min="1548" max="1548" width="20.140625" style="88" customWidth="1"/>
    <col min="1549" max="1793" width="9.140625" style="88"/>
    <col min="1794" max="1794" width="24.42578125" style="88" bestFit="1" customWidth="1"/>
    <col min="1795" max="1795" width="16.5703125" style="88" customWidth="1"/>
    <col min="1796" max="1796" width="47.85546875" style="88" customWidth="1"/>
    <col min="1797" max="1798" width="9.140625" style="88"/>
    <col min="1799" max="1799" width="10.7109375" style="88" customWidth="1"/>
    <col min="1800" max="1800" width="12.85546875" style="88" customWidth="1"/>
    <col min="1801" max="1801" width="10.140625" style="88" bestFit="1" customWidth="1"/>
    <col min="1802" max="1802" width="9.140625" style="88"/>
    <col min="1803" max="1803" width="16.5703125" style="88" customWidth="1"/>
    <col min="1804" max="1804" width="20.140625" style="88" customWidth="1"/>
    <col min="1805" max="2049" width="9.140625" style="88"/>
    <col min="2050" max="2050" width="24.42578125" style="88" bestFit="1" customWidth="1"/>
    <col min="2051" max="2051" width="16.5703125" style="88" customWidth="1"/>
    <col min="2052" max="2052" width="47.85546875" style="88" customWidth="1"/>
    <col min="2053" max="2054" width="9.140625" style="88"/>
    <col min="2055" max="2055" width="10.7109375" style="88" customWidth="1"/>
    <col min="2056" max="2056" width="12.85546875" style="88" customWidth="1"/>
    <col min="2057" max="2057" width="10.140625" style="88" bestFit="1" customWidth="1"/>
    <col min="2058" max="2058" width="9.140625" style="88"/>
    <col min="2059" max="2059" width="16.5703125" style="88" customWidth="1"/>
    <col min="2060" max="2060" width="20.140625" style="88" customWidth="1"/>
    <col min="2061" max="2305" width="9.140625" style="88"/>
    <col min="2306" max="2306" width="24.42578125" style="88" bestFit="1" customWidth="1"/>
    <col min="2307" max="2307" width="16.5703125" style="88" customWidth="1"/>
    <col min="2308" max="2308" width="47.85546875" style="88" customWidth="1"/>
    <col min="2309" max="2310" width="9.140625" style="88"/>
    <col min="2311" max="2311" width="10.7109375" style="88" customWidth="1"/>
    <col min="2312" max="2312" width="12.85546875" style="88" customWidth="1"/>
    <col min="2313" max="2313" width="10.140625" style="88" bestFit="1" customWidth="1"/>
    <col min="2314" max="2314" width="9.140625" style="88"/>
    <col min="2315" max="2315" width="16.5703125" style="88" customWidth="1"/>
    <col min="2316" max="2316" width="20.140625" style="88" customWidth="1"/>
    <col min="2317" max="2561" width="9.140625" style="88"/>
    <col min="2562" max="2562" width="24.42578125" style="88" bestFit="1" customWidth="1"/>
    <col min="2563" max="2563" width="16.5703125" style="88" customWidth="1"/>
    <col min="2564" max="2564" width="47.85546875" style="88" customWidth="1"/>
    <col min="2565" max="2566" width="9.140625" style="88"/>
    <col min="2567" max="2567" width="10.7109375" style="88" customWidth="1"/>
    <col min="2568" max="2568" width="12.85546875" style="88" customWidth="1"/>
    <col min="2569" max="2569" width="10.140625" style="88" bestFit="1" customWidth="1"/>
    <col min="2570" max="2570" width="9.140625" style="88"/>
    <col min="2571" max="2571" width="16.5703125" style="88" customWidth="1"/>
    <col min="2572" max="2572" width="20.140625" style="88" customWidth="1"/>
    <col min="2573" max="2817" width="9.140625" style="88"/>
    <col min="2818" max="2818" width="24.42578125" style="88" bestFit="1" customWidth="1"/>
    <col min="2819" max="2819" width="16.5703125" style="88" customWidth="1"/>
    <col min="2820" max="2820" width="47.85546875" style="88" customWidth="1"/>
    <col min="2821" max="2822" width="9.140625" style="88"/>
    <col min="2823" max="2823" width="10.7109375" style="88" customWidth="1"/>
    <col min="2824" max="2824" width="12.85546875" style="88" customWidth="1"/>
    <col min="2825" max="2825" width="10.140625" style="88" bestFit="1" customWidth="1"/>
    <col min="2826" max="2826" width="9.140625" style="88"/>
    <col min="2827" max="2827" width="16.5703125" style="88" customWidth="1"/>
    <col min="2828" max="2828" width="20.140625" style="88" customWidth="1"/>
    <col min="2829" max="3073" width="9.140625" style="88"/>
    <col min="3074" max="3074" width="24.42578125" style="88" bestFit="1" customWidth="1"/>
    <col min="3075" max="3075" width="16.5703125" style="88" customWidth="1"/>
    <col min="3076" max="3076" width="47.85546875" style="88" customWidth="1"/>
    <col min="3077" max="3078" width="9.140625" style="88"/>
    <col min="3079" max="3079" width="10.7109375" style="88" customWidth="1"/>
    <col min="3080" max="3080" width="12.85546875" style="88" customWidth="1"/>
    <col min="3081" max="3081" width="10.140625" style="88" bestFit="1" customWidth="1"/>
    <col min="3082" max="3082" width="9.140625" style="88"/>
    <col min="3083" max="3083" width="16.5703125" style="88" customWidth="1"/>
    <col min="3084" max="3084" width="20.140625" style="88" customWidth="1"/>
    <col min="3085" max="3329" width="9.140625" style="88"/>
    <col min="3330" max="3330" width="24.42578125" style="88" bestFit="1" customWidth="1"/>
    <col min="3331" max="3331" width="16.5703125" style="88" customWidth="1"/>
    <col min="3332" max="3332" width="47.85546875" style="88" customWidth="1"/>
    <col min="3333" max="3334" width="9.140625" style="88"/>
    <col min="3335" max="3335" width="10.7109375" style="88" customWidth="1"/>
    <col min="3336" max="3336" width="12.85546875" style="88" customWidth="1"/>
    <col min="3337" max="3337" width="10.140625" style="88" bestFit="1" customWidth="1"/>
    <col min="3338" max="3338" width="9.140625" style="88"/>
    <col min="3339" max="3339" width="16.5703125" style="88" customWidth="1"/>
    <col min="3340" max="3340" width="20.140625" style="88" customWidth="1"/>
    <col min="3341" max="3585" width="9.140625" style="88"/>
    <col min="3586" max="3586" width="24.42578125" style="88" bestFit="1" customWidth="1"/>
    <col min="3587" max="3587" width="16.5703125" style="88" customWidth="1"/>
    <col min="3588" max="3588" width="47.85546875" style="88" customWidth="1"/>
    <col min="3589" max="3590" width="9.140625" style="88"/>
    <col min="3591" max="3591" width="10.7109375" style="88" customWidth="1"/>
    <col min="3592" max="3592" width="12.85546875" style="88" customWidth="1"/>
    <col min="3593" max="3593" width="10.140625" style="88" bestFit="1" customWidth="1"/>
    <col min="3594" max="3594" width="9.140625" style="88"/>
    <col min="3595" max="3595" width="16.5703125" style="88" customWidth="1"/>
    <col min="3596" max="3596" width="20.140625" style="88" customWidth="1"/>
    <col min="3597" max="3841" width="9.140625" style="88"/>
    <col min="3842" max="3842" width="24.42578125" style="88" bestFit="1" customWidth="1"/>
    <col min="3843" max="3843" width="16.5703125" style="88" customWidth="1"/>
    <col min="3844" max="3844" width="47.85546875" style="88" customWidth="1"/>
    <col min="3845" max="3846" width="9.140625" style="88"/>
    <col min="3847" max="3847" width="10.7109375" style="88" customWidth="1"/>
    <col min="3848" max="3848" width="12.85546875" style="88" customWidth="1"/>
    <col min="3849" max="3849" width="10.140625" style="88" bestFit="1" customWidth="1"/>
    <col min="3850" max="3850" width="9.140625" style="88"/>
    <col min="3851" max="3851" width="16.5703125" style="88" customWidth="1"/>
    <col min="3852" max="3852" width="20.140625" style="88" customWidth="1"/>
    <col min="3853" max="4097" width="9.140625" style="88"/>
    <col min="4098" max="4098" width="24.42578125" style="88" bestFit="1" customWidth="1"/>
    <col min="4099" max="4099" width="16.5703125" style="88" customWidth="1"/>
    <col min="4100" max="4100" width="47.85546875" style="88" customWidth="1"/>
    <col min="4101" max="4102" width="9.140625" style="88"/>
    <col min="4103" max="4103" width="10.7109375" style="88" customWidth="1"/>
    <col min="4104" max="4104" width="12.85546875" style="88" customWidth="1"/>
    <col min="4105" max="4105" width="10.140625" style="88" bestFit="1" customWidth="1"/>
    <col min="4106" max="4106" width="9.140625" style="88"/>
    <col min="4107" max="4107" width="16.5703125" style="88" customWidth="1"/>
    <col min="4108" max="4108" width="20.140625" style="88" customWidth="1"/>
    <col min="4109" max="4353" width="9.140625" style="88"/>
    <col min="4354" max="4354" width="24.42578125" style="88" bestFit="1" customWidth="1"/>
    <col min="4355" max="4355" width="16.5703125" style="88" customWidth="1"/>
    <col min="4356" max="4356" width="47.85546875" style="88" customWidth="1"/>
    <col min="4357" max="4358" width="9.140625" style="88"/>
    <col min="4359" max="4359" width="10.7109375" style="88" customWidth="1"/>
    <col min="4360" max="4360" width="12.85546875" style="88" customWidth="1"/>
    <col min="4361" max="4361" width="10.140625" style="88" bestFit="1" customWidth="1"/>
    <col min="4362" max="4362" width="9.140625" style="88"/>
    <col min="4363" max="4363" width="16.5703125" style="88" customWidth="1"/>
    <col min="4364" max="4364" width="20.140625" style="88" customWidth="1"/>
    <col min="4365" max="4609" width="9.140625" style="88"/>
    <col min="4610" max="4610" width="24.42578125" style="88" bestFit="1" customWidth="1"/>
    <col min="4611" max="4611" width="16.5703125" style="88" customWidth="1"/>
    <col min="4612" max="4612" width="47.85546875" style="88" customWidth="1"/>
    <col min="4613" max="4614" width="9.140625" style="88"/>
    <col min="4615" max="4615" width="10.7109375" style="88" customWidth="1"/>
    <col min="4616" max="4616" width="12.85546875" style="88" customWidth="1"/>
    <col min="4617" max="4617" width="10.140625" style="88" bestFit="1" customWidth="1"/>
    <col min="4618" max="4618" width="9.140625" style="88"/>
    <col min="4619" max="4619" width="16.5703125" style="88" customWidth="1"/>
    <col min="4620" max="4620" width="20.140625" style="88" customWidth="1"/>
    <col min="4621" max="4865" width="9.140625" style="88"/>
    <col min="4866" max="4866" width="24.42578125" style="88" bestFit="1" customWidth="1"/>
    <col min="4867" max="4867" width="16.5703125" style="88" customWidth="1"/>
    <col min="4868" max="4868" width="47.85546875" style="88" customWidth="1"/>
    <col min="4869" max="4870" width="9.140625" style="88"/>
    <col min="4871" max="4871" width="10.7109375" style="88" customWidth="1"/>
    <col min="4872" max="4872" width="12.85546875" style="88" customWidth="1"/>
    <col min="4873" max="4873" width="10.140625" style="88" bestFit="1" customWidth="1"/>
    <col min="4874" max="4874" width="9.140625" style="88"/>
    <col min="4875" max="4875" width="16.5703125" style="88" customWidth="1"/>
    <col min="4876" max="4876" width="20.140625" style="88" customWidth="1"/>
    <col min="4877" max="5121" width="9.140625" style="88"/>
    <col min="5122" max="5122" width="24.42578125" style="88" bestFit="1" customWidth="1"/>
    <col min="5123" max="5123" width="16.5703125" style="88" customWidth="1"/>
    <col min="5124" max="5124" width="47.85546875" style="88" customWidth="1"/>
    <col min="5125" max="5126" width="9.140625" style="88"/>
    <col min="5127" max="5127" width="10.7109375" style="88" customWidth="1"/>
    <col min="5128" max="5128" width="12.85546875" style="88" customWidth="1"/>
    <col min="5129" max="5129" width="10.140625" style="88" bestFit="1" customWidth="1"/>
    <col min="5130" max="5130" width="9.140625" style="88"/>
    <col min="5131" max="5131" width="16.5703125" style="88" customWidth="1"/>
    <col min="5132" max="5132" width="20.140625" style="88" customWidth="1"/>
    <col min="5133" max="5377" width="9.140625" style="88"/>
    <col min="5378" max="5378" width="24.42578125" style="88" bestFit="1" customWidth="1"/>
    <col min="5379" max="5379" width="16.5703125" style="88" customWidth="1"/>
    <col min="5380" max="5380" width="47.85546875" style="88" customWidth="1"/>
    <col min="5381" max="5382" width="9.140625" style="88"/>
    <col min="5383" max="5383" width="10.7109375" style="88" customWidth="1"/>
    <col min="5384" max="5384" width="12.85546875" style="88" customWidth="1"/>
    <col min="5385" max="5385" width="10.140625" style="88" bestFit="1" customWidth="1"/>
    <col min="5386" max="5386" width="9.140625" style="88"/>
    <col min="5387" max="5387" width="16.5703125" style="88" customWidth="1"/>
    <col min="5388" max="5388" width="20.140625" style="88" customWidth="1"/>
    <col min="5389" max="5633" width="9.140625" style="88"/>
    <col min="5634" max="5634" width="24.42578125" style="88" bestFit="1" customWidth="1"/>
    <col min="5635" max="5635" width="16.5703125" style="88" customWidth="1"/>
    <col min="5636" max="5636" width="47.85546875" style="88" customWidth="1"/>
    <col min="5637" max="5638" width="9.140625" style="88"/>
    <col min="5639" max="5639" width="10.7109375" style="88" customWidth="1"/>
    <col min="5640" max="5640" width="12.85546875" style="88" customWidth="1"/>
    <col min="5641" max="5641" width="10.140625" style="88" bestFit="1" customWidth="1"/>
    <col min="5642" max="5642" width="9.140625" style="88"/>
    <col min="5643" max="5643" width="16.5703125" style="88" customWidth="1"/>
    <col min="5644" max="5644" width="20.140625" style="88" customWidth="1"/>
    <col min="5645" max="5889" width="9.140625" style="88"/>
    <col min="5890" max="5890" width="24.42578125" style="88" bestFit="1" customWidth="1"/>
    <col min="5891" max="5891" width="16.5703125" style="88" customWidth="1"/>
    <col min="5892" max="5892" width="47.85546875" style="88" customWidth="1"/>
    <col min="5893" max="5894" width="9.140625" style="88"/>
    <col min="5895" max="5895" width="10.7109375" style="88" customWidth="1"/>
    <col min="5896" max="5896" width="12.85546875" style="88" customWidth="1"/>
    <col min="5897" max="5897" width="10.140625" style="88" bestFit="1" customWidth="1"/>
    <col min="5898" max="5898" width="9.140625" style="88"/>
    <col min="5899" max="5899" width="16.5703125" style="88" customWidth="1"/>
    <col min="5900" max="5900" width="20.140625" style="88" customWidth="1"/>
    <col min="5901" max="6145" width="9.140625" style="88"/>
    <col min="6146" max="6146" width="24.42578125" style="88" bestFit="1" customWidth="1"/>
    <col min="6147" max="6147" width="16.5703125" style="88" customWidth="1"/>
    <col min="6148" max="6148" width="47.85546875" style="88" customWidth="1"/>
    <col min="6149" max="6150" width="9.140625" style="88"/>
    <col min="6151" max="6151" width="10.7109375" style="88" customWidth="1"/>
    <col min="6152" max="6152" width="12.85546875" style="88" customWidth="1"/>
    <col min="6153" max="6153" width="10.140625" style="88" bestFit="1" customWidth="1"/>
    <col min="6154" max="6154" width="9.140625" style="88"/>
    <col min="6155" max="6155" width="16.5703125" style="88" customWidth="1"/>
    <col min="6156" max="6156" width="20.140625" style="88" customWidth="1"/>
    <col min="6157" max="6401" width="9.140625" style="88"/>
    <col min="6402" max="6402" width="24.42578125" style="88" bestFit="1" customWidth="1"/>
    <col min="6403" max="6403" width="16.5703125" style="88" customWidth="1"/>
    <col min="6404" max="6404" width="47.85546875" style="88" customWidth="1"/>
    <col min="6405" max="6406" width="9.140625" style="88"/>
    <col min="6407" max="6407" width="10.7109375" style="88" customWidth="1"/>
    <col min="6408" max="6408" width="12.85546875" style="88" customWidth="1"/>
    <col min="6409" max="6409" width="10.140625" style="88" bestFit="1" customWidth="1"/>
    <col min="6410" max="6410" width="9.140625" style="88"/>
    <col min="6411" max="6411" width="16.5703125" style="88" customWidth="1"/>
    <col min="6412" max="6412" width="20.140625" style="88" customWidth="1"/>
    <col min="6413" max="6657" width="9.140625" style="88"/>
    <col min="6658" max="6658" width="24.42578125" style="88" bestFit="1" customWidth="1"/>
    <col min="6659" max="6659" width="16.5703125" style="88" customWidth="1"/>
    <col min="6660" max="6660" width="47.85546875" style="88" customWidth="1"/>
    <col min="6661" max="6662" width="9.140625" style="88"/>
    <col min="6663" max="6663" width="10.7109375" style="88" customWidth="1"/>
    <col min="6664" max="6664" width="12.85546875" style="88" customWidth="1"/>
    <col min="6665" max="6665" width="10.140625" style="88" bestFit="1" customWidth="1"/>
    <col min="6666" max="6666" width="9.140625" style="88"/>
    <col min="6667" max="6667" width="16.5703125" style="88" customWidth="1"/>
    <col min="6668" max="6668" width="20.140625" style="88" customWidth="1"/>
    <col min="6669" max="6913" width="9.140625" style="88"/>
    <col min="6914" max="6914" width="24.42578125" style="88" bestFit="1" customWidth="1"/>
    <col min="6915" max="6915" width="16.5703125" style="88" customWidth="1"/>
    <col min="6916" max="6916" width="47.85546875" style="88" customWidth="1"/>
    <col min="6917" max="6918" width="9.140625" style="88"/>
    <col min="6919" max="6919" width="10.7109375" style="88" customWidth="1"/>
    <col min="6920" max="6920" width="12.85546875" style="88" customWidth="1"/>
    <col min="6921" max="6921" width="10.140625" style="88" bestFit="1" customWidth="1"/>
    <col min="6922" max="6922" width="9.140625" style="88"/>
    <col min="6923" max="6923" width="16.5703125" style="88" customWidth="1"/>
    <col min="6924" max="6924" width="20.140625" style="88" customWidth="1"/>
    <col min="6925" max="7169" width="9.140625" style="88"/>
    <col min="7170" max="7170" width="24.42578125" style="88" bestFit="1" customWidth="1"/>
    <col min="7171" max="7171" width="16.5703125" style="88" customWidth="1"/>
    <col min="7172" max="7172" width="47.85546875" style="88" customWidth="1"/>
    <col min="7173" max="7174" width="9.140625" style="88"/>
    <col min="7175" max="7175" width="10.7109375" style="88" customWidth="1"/>
    <col min="7176" max="7176" width="12.85546875" style="88" customWidth="1"/>
    <col min="7177" max="7177" width="10.140625" style="88" bestFit="1" customWidth="1"/>
    <col min="7178" max="7178" width="9.140625" style="88"/>
    <col min="7179" max="7179" width="16.5703125" style="88" customWidth="1"/>
    <col min="7180" max="7180" width="20.140625" style="88" customWidth="1"/>
    <col min="7181" max="7425" width="9.140625" style="88"/>
    <col min="7426" max="7426" width="24.42578125" style="88" bestFit="1" customWidth="1"/>
    <col min="7427" max="7427" width="16.5703125" style="88" customWidth="1"/>
    <col min="7428" max="7428" width="47.85546875" style="88" customWidth="1"/>
    <col min="7429" max="7430" width="9.140625" style="88"/>
    <col min="7431" max="7431" width="10.7109375" style="88" customWidth="1"/>
    <col min="7432" max="7432" width="12.85546875" style="88" customWidth="1"/>
    <col min="7433" max="7433" width="10.140625" style="88" bestFit="1" customWidth="1"/>
    <col min="7434" max="7434" width="9.140625" style="88"/>
    <col min="7435" max="7435" width="16.5703125" style="88" customWidth="1"/>
    <col min="7436" max="7436" width="20.140625" style="88" customWidth="1"/>
    <col min="7437" max="7681" width="9.140625" style="88"/>
    <col min="7682" max="7682" width="24.42578125" style="88" bestFit="1" customWidth="1"/>
    <col min="7683" max="7683" width="16.5703125" style="88" customWidth="1"/>
    <col min="7684" max="7684" width="47.85546875" style="88" customWidth="1"/>
    <col min="7685" max="7686" width="9.140625" style="88"/>
    <col min="7687" max="7687" width="10.7109375" style="88" customWidth="1"/>
    <col min="7688" max="7688" width="12.85546875" style="88" customWidth="1"/>
    <col min="7689" max="7689" width="10.140625" style="88" bestFit="1" customWidth="1"/>
    <col min="7690" max="7690" width="9.140625" style="88"/>
    <col min="7691" max="7691" width="16.5703125" style="88" customWidth="1"/>
    <col min="7692" max="7692" width="20.140625" style="88" customWidth="1"/>
    <col min="7693" max="7937" width="9.140625" style="88"/>
    <col min="7938" max="7938" width="24.42578125" style="88" bestFit="1" customWidth="1"/>
    <col min="7939" max="7939" width="16.5703125" style="88" customWidth="1"/>
    <col min="7940" max="7940" width="47.85546875" style="88" customWidth="1"/>
    <col min="7941" max="7942" width="9.140625" style="88"/>
    <col min="7943" max="7943" width="10.7109375" style="88" customWidth="1"/>
    <col min="7944" max="7944" width="12.85546875" style="88" customWidth="1"/>
    <col min="7945" max="7945" width="10.140625" style="88" bestFit="1" customWidth="1"/>
    <col min="7946" max="7946" width="9.140625" style="88"/>
    <col min="7947" max="7947" width="16.5703125" style="88" customWidth="1"/>
    <col min="7948" max="7948" width="20.140625" style="88" customWidth="1"/>
    <col min="7949" max="8193" width="9.140625" style="88"/>
    <col min="8194" max="8194" width="24.42578125" style="88" bestFit="1" customWidth="1"/>
    <col min="8195" max="8195" width="16.5703125" style="88" customWidth="1"/>
    <col min="8196" max="8196" width="47.85546875" style="88" customWidth="1"/>
    <col min="8197" max="8198" width="9.140625" style="88"/>
    <col min="8199" max="8199" width="10.7109375" style="88" customWidth="1"/>
    <col min="8200" max="8200" width="12.85546875" style="88" customWidth="1"/>
    <col min="8201" max="8201" width="10.140625" style="88" bestFit="1" customWidth="1"/>
    <col min="8202" max="8202" width="9.140625" style="88"/>
    <col min="8203" max="8203" width="16.5703125" style="88" customWidth="1"/>
    <col min="8204" max="8204" width="20.140625" style="88" customWidth="1"/>
    <col min="8205" max="8449" width="9.140625" style="88"/>
    <col min="8450" max="8450" width="24.42578125" style="88" bestFit="1" customWidth="1"/>
    <col min="8451" max="8451" width="16.5703125" style="88" customWidth="1"/>
    <col min="8452" max="8452" width="47.85546875" style="88" customWidth="1"/>
    <col min="8453" max="8454" width="9.140625" style="88"/>
    <col min="8455" max="8455" width="10.7109375" style="88" customWidth="1"/>
    <col min="8456" max="8456" width="12.85546875" style="88" customWidth="1"/>
    <col min="8457" max="8457" width="10.140625" style="88" bestFit="1" customWidth="1"/>
    <col min="8458" max="8458" width="9.140625" style="88"/>
    <col min="8459" max="8459" width="16.5703125" style="88" customWidth="1"/>
    <col min="8460" max="8460" width="20.140625" style="88" customWidth="1"/>
    <col min="8461" max="8705" width="9.140625" style="88"/>
    <col min="8706" max="8706" width="24.42578125" style="88" bestFit="1" customWidth="1"/>
    <col min="8707" max="8707" width="16.5703125" style="88" customWidth="1"/>
    <col min="8708" max="8708" width="47.85546875" style="88" customWidth="1"/>
    <col min="8709" max="8710" width="9.140625" style="88"/>
    <col min="8711" max="8711" width="10.7109375" style="88" customWidth="1"/>
    <col min="8712" max="8712" width="12.85546875" style="88" customWidth="1"/>
    <col min="8713" max="8713" width="10.140625" style="88" bestFit="1" customWidth="1"/>
    <col min="8714" max="8714" width="9.140625" style="88"/>
    <col min="8715" max="8715" width="16.5703125" style="88" customWidth="1"/>
    <col min="8716" max="8716" width="20.140625" style="88" customWidth="1"/>
    <col min="8717" max="8961" width="9.140625" style="88"/>
    <col min="8962" max="8962" width="24.42578125" style="88" bestFit="1" customWidth="1"/>
    <col min="8963" max="8963" width="16.5703125" style="88" customWidth="1"/>
    <col min="8964" max="8964" width="47.85546875" style="88" customWidth="1"/>
    <col min="8965" max="8966" width="9.140625" style="88"/>
    <col min="8967" max="8967" width="10.7109375" style="88" customWidth="1"/>
    <col min="8968" max="8968" width="12.85546875" style="88" customWidth="1"/>
    <col min="8969" max="8969" width="10.140625" style="88" bestFit="1" customWidth="1"/>
    <col min="8970" max="8970" width="9.140625" style="88"/>
    <col min="8971" max="8971" width="16.5703125" style="88" customWidth="1"/>
    <col min="8972" max="8972" width="20.140625" style="88" customWidth="1"/>
    <col min="8973" max="9217" width="9.140625" style="88"/>
    <col min="9218" max="9218" width="24.42578125" style="88" bestFit="1" customWidth="1"/>
    <col min="9219" max="9219" width="16.5703125" style="88" customWidth="1"/>
    <col min="9220" max="9220" width="47.85546875" style="88" customWidth="1"/>
    <col min="9221" max="9222" width="9.140625" style="88"/>
    <col min="9223" max="9223" width="10.7109375" style="88" customWidth="1"/>
    <col min="9224" max="9224" width="12.85546875" style="88" customWidth="1"/>
    <col min="9225" max="9225" width="10.140625" style="88" bestFit="1" customWidth="1"/>
    <col min="9226" max="9226" width="9.140625" style="88"/>
    <col min="9227" max="9227" width="16.5703125" style="88" customWidth="1"/>
    <col min="9228" max="9228" width="20.140625" style="88" customWidth="1"/>
    <col min="9229" max="9473" width="9.140625" style="88"/>
    <col min="9474" max="9474" width="24.42578125" style="88" bestFit="1" customWidth="1"/>
    <col min="9475" max="9475" width="16.5703125" style="88" customWidth="1"/>
    <col min="9476" max="9476" width="47.85546875" style="88" customWidth="1"/>
    <col min="9477" max="9478" width="9.140625" style="88"/>
    <col min="9479" max="9479" width="10.7109375" style="88" customWidth="1"/>
    <col min="9480" max="9480" width="12.85546875" style="88" customWidth="1"/>
    <col min="9481" max="9481" width="10.140625" style="88" bestFit="1" customWidth="1"/>
    <col min="9482" max="9482" width="9.140625" style="88"/>
    <col min="9483" max="9483" width="16.5703125" style="88" customWidth="1"/>
    <col min="9484" max="9484" width="20.140625" style="88" customWidth="1"/>
    <col min="9485" max="9729" width="9.140625" style="88"/>
    <col min="9730" max="9730" width="24.42578125" style="88" bestFit="1" customWidth="1"/>
    <col min="9731" max="9731" width="16.5703125" style="88" customWidth="1"/>
    <col min="9732" max="9732" width="47.85546875" style="88" customWidth="1"/>
    <col min="9733" max="9734" width="9.140625" style="88"/>
    <col min="9735" max="9735" width="10.7109375" style="88" customWidth="1"/>
    <col min="9736" max="9736" width="12.85546875" style="88" customWidth="1"/>
    <col min="9737" max="9737" width="10.140625" style="88" bestFit="1" customWidth="1"/>
    <col min="9738" max="9738" width="9.140625" style="88"/>
    <col min="9739" max="9739" width="16.5703125" style="88" customWidth="1"/>
    <col min="9740" max="9740" width="20.140625" style="88" customWidth="1"/>
    <col min="9741" max="9985" width="9.140625" style="88"/>
    <col min="9986" max="9986" width="24.42578125" style="88" bestFit="1" customWidth="1"/>
    <col min="9987" max="9987" width="16.5703125" style="88" customWidth="1"/>
    <col min="9988" max="9988" width="47.85546875" style="88" customWidth="1"/>
    <col min="9989" max="9990" width="9.140625" style="88"/>
    <col min="9991" max="9991" width="10.7109375" style="88" customWidth="1"/>
    <col min="9992" max="9992" width="12.85546875" style="88" customWidth="1"/>
    <col min="9993" max="9993" width="10.140625" style="88" bestFit="1" customWidth="1"/>
    <col min="9994" max="9994" width="9.140625" style="88"/>
    <col min="9995" max="9995" width="16.5703125" style="88" customWidth="1"/>
    <col min="9996" max="9996" width="20.140625" style="88" customWidth="1"/>
    <col min="9997" max="10241" width="9.140625" style="88"/>
    <col min="10242" max="10242" width="24.42578125" style="88" bestFit="1" customWidth="1"/>
    <col min="10243" max="10243" width="16.5703125" style="88" customWidth="1"/>
    <col min="10244" max="10244" width="47.85546875" style="88" customWidth="1"/>
    <col min="10245" max="10246" width="9.140625" style="88"/>
    <col min="10247" max="10247" width="10.7109375" style="88" customWidth="1"/>
    <col min="10248" max="10248" width="12.85546875" style="88" customWidth="1"/>
    <col min="10249" max="10249" width="10.140625" style="88" bestFit="1" customWidth="1"/>
    <col min="10250" max="10250" width="9.140625" style="88"/>
    <col min="10251" max="10251" width="16.5703125" style="88" customWidth="1"/>
    <col min="10252" max="10252" width="20.140625" style="88" customWidth="1"/>
    <col min="10253" max="10497" width="9.140625" style="88"/>
    <col min="10498" max="10498" width="24.42578125" style="88" bestFit="1" customWidth="1"/>
    <col min="10499" max="10499" width="16.5703125" style="88" customWidth="1"/>
    <col min="10500" max="10500" width="47.85546875" style="88" customWidth="1"/>
    <col min="10501" max="10502" width="9.140625" style="88"/>
    <col min="10503" max="10503" width="10.7109375" style="88" customWidth="1"/>
    <col min="10504" max="10504" width="12.85546875" style="88" customWidth="1"/>
    <col min="10505" max="10505" width="10.140625" style="88" bestFit="1" customWidth="1"/>
    <col min="10506" max="10506" width="9.140625" style="88"/>
    <col min="10507" max="10507" width="16.5703125" style="88" customWidth="1"/>
    <col min="10508" max="10508" width="20.140625" style="88" customWidth="1"/>
    <col min="10509" max="10753" width="9.140625" style="88"/>
    <col min="10754" max="10754" width="24.42578125" style="88" bestFit="1" customWidth="1"/>
    <col min="10755" max="10755" width="16.5703125" style="88" customWidth="1"/>
    <col min="10756" max="10756" width="47.85546875" style="88" customWidth="1"/>
    <col min="10757" max="10758" width="9.140625" style="88"/>
    <col min="10759" max="10759" width="10.7109375" style="88" customWidth="1"/>
    <col min="10760" max="10760" width="12.85546875" style="88" customWidth="1"/>
    <col min="10761" max="10761" width="10.140625" style="88" bestFit="1" customWidth="1"/>
    <col min="10762" max="10762" width="9.140625" style="88"/>
    <col min="10763" max="10763" width="16.5703125" style="88" customWidth="1"/>
    <col min="10764" max="10764" width="20.140625" style="88" customWidth="1"/>
    <col min="10765" max="11009" width="9.140625" style="88"/>
    <col min="11010" max="11010" width="24.42578125" style="88" bestFit="1" customWidth="1"/>
    <col min="11011" max="11011" width="16.5703125" style="88" customWidth="1"/>
    <col min="11012" max="11012" width="47.85546875" style="88" customWidth="1"/>
    <col min="11013" max="11014" width="9.140625" style="88"/>
    <col min="11015" max="11015" width="10.7109375" style="88" customWidth="1"/>
    <col min="11016" max="11016" width="12.85546875" style="88" customWidth="1"/>
    <col min="11017" max="11017" width="10.140625" style="88" bestFit="1" customWidth="1"/>
    <col min="11018" max="11018" width="9.140625" style="88"/>
    <col min="11019" max="11019" width="16.5703125" style="88" customWidth="1"/>
    <col min="11020" max="11020" width="20.140625" style="88" customWidth="1"/>
    <col min="11021" max="11265" width="9.140625" style="88"/>
    <col min="11266" max="11266" width="24.42578125" style="88" bestFit="1" customWidth="1"/>
    <col min="11267" max="11267" width="16.5703125" style="88" customWidth="1"/>
    <col min="11268" max="11268" width="47.85546875" style="88" customWidth="1"/>
    <col min="11269" max="11270" width="9.140625" style="88"/>
    <col min="11271" max="11271" width="10.7109375" style="88" customWidth="1"/>
    <col min="11272" max="11272" width="12.85546875" style="88" customWidth="1"/>
    <col min="11273" max="11273" width="10.140625" style="88" bestFit="1" customWidth="1"/>
    <col min="11274" max="11274" width="9.140625" style="88"/>
    <col min="11275" max="11275" width="16.5703125" style="88" customWidth="1"/>
    <col min="11276" max="11276" width="20.140625" style="88" customWidth="1"/>
    <col min="11277" max="11521" width="9.140625" style="88"/>
    <col min="11522" max="11522" width="24.42578125" style="88" bestFit="1" customWidth="1"/>
    <col min="11523" max="11523" width="16.5703125" style="88" customWidth="1"/>
    <col min="11524" max="11524" width="47.85546875" style="88" customWidth="1"/>
    <col min="11525" max="11526" width="9.140625" style="88"/>
    <col min="11527" max="11527" width="10.7109375" style="88" customWidth="1"/>
    <col min="11528" max="11528" width="12.85546875" style="88" customWidth="1"/>
    <col min="11529" max="11529" width="10.140625" style="88" bestFit="1" customWidth="1"/>
    <col min="11530" max="11530" width="9.140625" style="88"/>
    <col min="11531" max="11531" width="16.5703125" style="88" customWidth="1"/>
    <col min="11532" max="11532" width="20.140625" style="88" customWidth="1"/>
    <col min="11533" max="11777" width="9.140625" style="88"/>
    <col min="11778" max="11778" width="24.42578125" style="88" bestFit="1" customWidth="1"/>
    <col min="11779" max="11779" width="16.5703125" style="88" customWidth="1"/>
    <col min="11780" max="11780" width="47.85546875" style="88" customWidth="1"/>
    <col min="11781" max="11782" width="9.140625" style="88"/>
    <col min="11783" max="11783" width="10.7109375" style="88" customWidth="1"/>
    <col min="11784" max="11784" width="12.85546875" style="88" customWidth="1"/>
    <col min="11785" max="11785" width="10.140625" style="88" bestFit="1" customWidth="1"/>
    <col min="11786" max="11786" width="9.140625" style="88"/>
    <col min="11787" max="11787" width="16.5703125" style="88" customWidth="1"/>
    <col min="11788" max="11788" width="20.140625" style="88" customWidth="1"/>
    <col min="11789" max="12033" width="9.140625" style="88"/>
    <col min="12034" max="12034" width="24.42578125" style="88" bestFit="1" customWidth="1"/>
    <col min="12035" max="12035" width="16.5703125" style="88" customWidth="1"/>
    <col min="12036" max="12036" width="47.85546875" style="88" customWidth="1"/>
    <col min="12037" max="12038" width="9.140625" style="88"/>
    <col min="12039" max="12039" width="10.7109375" style="88" customWidth="1"/>
    <col min="12040" max="12040" width="12.85546875" style="88" customWidth="1"/>
    <col min="12041" max="12041" width="10.140625" style="88" bestFit="1" customWidth="1"/>
    <col min="12042" max="12042" width="9.140625" style="88"/>
    <col min="12043" max="12043" width="16.5703125" style="88" customWidth="1"/>
    <col min="12044" max="12044" width="20.140625" style="88" customWidth="1"/>
    <col min="12045" max="12289" width="9.140625" style="88"/>
    <col min="12290" max="12290" width="24.42578125" style="88" bestFit="1" customWidth="1"/>
    <col min="12291" max="12291" width="16.5703125" style="88" customWidth="1"/>
    <col min="12292" max="12292" width="47.85546875" style="88" customWidth="1"/>
    <col min="12293" max="12294" width="9.140625" style="88"/>
    <col min="12295" max="12295" width="10.7109375" style="88" customWidth="1"/>
    <col min="12296" max="12296" width="12.85546875" style="88" customWidth="1"/>
    <col min="12297" max="12297" width="10.140625" style="88" bestFit="1" customWidth="1"/>
    <col min="12298" max="12298" width="9.140625" style="88"/>
    <col min="12299" max="12299" width="16.5703125" style="88" customWidth="1"/>
    <col min="12300" max="12300" width="20.140625" style="88" customWidth="1"/>
    <col min="12301" max="12545" width="9.140625" style="88"/>
    <col min="12546" max="12546" width="24.42578125" style="88" bestFit="1" customWidth="1"/>
    <col min="12547" max="12547" width="16.5703125" style="88" customWidth="1"/>
    <col min="12548" max="12548" width="47.85546875" style="88" customWidth="1"/>
    <col min="12549" max="12550" width="9.140625" style="88"/>
    <col min="12551" max="12551" width="10.7109375" style="88" customWidth="1"/>
    <col min="12552" max="12552" width="12.85546875" style="88" customWidth="1"/>
    <col min="12553" max="12553" width="10.140625" style="88" bestFit="1" customWidth="1"/>
    <col min="12554" max="12554" width="9.140625" style="88"/>
    <col min="12555" max="12555" width="16.5703125" style="88" customWidth="1"/>
    <col min="12556" max="12556" width="20.140625" style="88" customWidth="1"/>
    <col min="12557" max="12801" width="9.140625" style="88"/>
    <col min="12802" max="12802" width="24.42578125" style="88" bestFit="1" customWidth="1"/>
    <col min="12803" max="12803" width="16.5703125" style="88" customWidth="1"/>
    <col min="12804" max="12804" width="47.85546875" style="88" customWidth="1"/>
    <col min="12805" max="12806" width="9.140625" style="88"/>
    <col min="12807" max="12807" width="10.7109375" style="88" customWidth="1"/>
    <col min="12808" max="12808" width="12.85546875" style="88" customWidth="1"/>
    <col min="12809" max="12809" width="10.140625" style="88" bestFit="1" customWidth="1"/>
    <col min="12810" max="12810" width="9.140625" style="88"/>
    <col min="12811" max="12811" width="16.5703125" style="88" customWidth="1"/>
    <col min="12812" max="12812" width="20.140625" style="88" customWidth="1"/>
    <col min="12813" max="13057" width="9.140625" style="88"/>
    <col min="13058" max="13058" width="24.42578125" style="88" bestFit="1" customWidth="1"/>
    <col min="13059" max="13059" width="16.5703125" style="88" customWidth="1"/>
    <col min="13060" max="13060" width="47.85546875" style="88" customWidth="1"/>
    <col min="13061" max="13062" width="9.140625" style="88"/>
    <col min="13063" max="13063" width="10.7109375" style="88" customWidth="1"/>
    <col min="13064" max="13064" width="12.85546875" style="88" customWidth="1"/>
    <col min="13065" max="13065" width="10.140625" style="88" bestFit="1" customWidth="1"/>
    <col min="13066" max="13066" width="9.140625" style="88"/>
    <col min="13067" max="13067" width="16.5703125" style="88" customWidth="1"/>
    <col min="13068" max="13068" width="20.140625" style="88" customWidth="1"/>
    <col min="13069" max="13313" width="9.140625" style="88"/>
    <col min="13314" max="13314" width="24.42578125" style="88" bestFit="1" customWidth="1"/>
    <col min="13315" max="13315" width="16.5703125" style="88" customWidth="1"/>
    <col min="13316" max="13316" width="47.85546875" style="88" customWidth="1"/>
    <col min="13317" max="13318" width="9.140625" style="88"/>
    <col min="13319" max="13319" width="10.7109375" style="88" customWidth="1"/>
    <col min="13320" max="13320" width="12.85546875" style="88" customWidth="1"/>
    <col min="13321" max="13321" width="10.140625" style="88" bestFit="1" customWidth="1"/>
    <col min="13322" max="13322" width="9.140625" style="88"/>
    <col min="13323" max="13323" width="16.5703125" style="88" customWidth="1"/>
    <col min="13324" max="13324" width="20.140625" style="88" customWidth="1"/>
    <col min="13325" max="13569" width="9.140625" style="88"/>
    <col min="13570" max="13570" width="24.42578125" style="88" bestFit="1" customWidth="1"/>
    <col min="13571" max="13571" width="16.5703125" style="88" customWidth="1"/>
    <col min="13572" max="13572" width="47.85546875" style="88" customWidth="1"/>
    <col min="13573" max="13574" width="9.140625" style="88"/>
    <col min="13575" max="13575" width="10.7109375" style="88" customWidth="1"/>
    <col min="13576" max="13576" width="12.85546875" style="88" customWidth="1"/>
    <col min="13577" max="13577" width="10.140625" style="88" bestFit="1" customWidth="1"/>
    <col min="13578" max="13578" width="9.140625" style="88"/>
    <col min="13579" max="13579" width="16.5703125" style="88" customWidth="1"/>
    <col min="13580" max="13580" width="20.140625" style="88" customWidth="1"/>
    <col min="13581" max="13825" width="9.140625" style="88"/>
    <col min="13826" max="13826" width="24.42578125" style="88" bestFit="1" customWidth="1"/>
    <col min="13827" max="13827" width="16.5703125" style="88" customWidth="1"/>
    <col min="13828" max="13828" width="47.85546875" style="88" customWidth="1"/>
    <col min="13829" max="13830" width="9.140625" style="88"/>
    <col min="13831" max="13831" width="10.7109375" style="88" customWidth="1"/>
    <col min="13832" max="13832" width="12.85546875" style="88" customWidth="1"/>
    <col min="13833" max="13833" width="10.140625" style="88" bestFit="1" customWidth="1"/>
    <col min="13834" max="13834" width="9.140625" style="88"/>
    <col min="13835" max="13835" width="16.5703125" style="88" customWidth="1"/>
    <col min="13836" max="13836" width="20.140625" style="88" customWidth="1"/>
    <col min="13837" max="14081" width="9.140625" style="88"/>
    <col min="14082" max="14082" width="24.42578125" style="88" bestFit="1" customWidth="1"/>
    <col min="14083" max="14083" width="16.5703125" style="88" customWidth="1"/>
    <col min="14084" max="14084" width="47.85546875" style="88" customWidth="1"/>
    <col min="14085" max="14086" width="9.140625" style="88"/>
    <col min="14087" max="14087" width="10.7109375" style="88" customWidth="1"/>
    <col min="14088" max="14088" width="12.85546875" style="88" customWidth="1"/>
    <col min="14089" max="14089" width="10.140625" style="88" bestFit="1" customWidth="1"/>
    <col min="14090" max="14090" width="9.140625" style="88"/>
    <col min="14091" max="14091" width="16.5703125" style="88" customWidth="1"/>
    <col min="14092" max="14092" width="20.140625" style="88" customWidth="1"/>
    <col min="14093" max="14337" width="9.140625" style="88"/>
    <col min="14338" max="14338" width="24.42578125" style="88" bestFit="1" customWidth="1"/>
    <col min="14339" max="14339" width="16.5703125" style="88" customWidth="1"/>
    <col min="14340" max="14340" width="47.85546875" style="88" customWidth="1"/>
    <col min="14341" max="14342" width="9.140625" style="88"/>
    <col min="14343" max="14343" width="10.7109375" style="88" customWidth="1"/>
    <col min="14344" max="14344" width="12.85546875" style="88" customWidth="1"/>
    <col min="14345" max="14345" width="10.140625" style="88" bestFit="1" customWidth="1"/>
    <col min="14346" max="14346" width="9.140625" style="88"/>
    <col min="14347" max="14347" width="16.5703125" style="88" customWidth="1"/>
    <col min="14348" max="14348" width="20.140625" style="88" customWidth="1"/>
    <col min="14349" max="14593" width="9.140625" style="88"/>
    <col min="14594" max="14594" width="24.42578125" style="88" bestFit="1" customWidth="1"/>
    <col min="14595" max="14595" width="16.5703125" style="88" customWidth="1"/>
    <col min="14596" max="14596" width="47.85546875" style="88" customWidth="1"/>
    <col min="14597" max="14598" width="9.140625" style="88"/>
    <col min="14599" max="14599" width="10.7109375" style="88" customWidth="1"/>
    <col min="14600" max="14600" width="12.85546875" style="88" customWidth="1"/>
    <col min="14601" max="14601" width="10.140625" style="88" bestFit="1" customWidth="1"/>
    <col min="14602" max="14602" width="9.140625" style="88"/>
    <col min="14603" max="14603" width="16.5703125" style="88" customWidth="1"/>
    <col min="14604" max="14604" width="20.140625" style="88" customWidth="1"/>
    <col min="14605" max="14849" width="9.140625" style="88"/>
    <col min="14850" max="14850" width="24.42578125" style="88" bestFit="1" customWidth="1"/>
    <col min="14851" max="14851" width="16.5703125" style="88" customWidth="1"/>
    <col min="14852" max="14852" width="47.85546875" style="88" customWidth="1"/>
    <col min="14853" max="14854" width="9.140625" style="88"/>
    <col min="14855" max="14855" width="10.7109375" style="88" customWidth="1"/>
    <col min="14856" max="14856" width="12.85546875" style="88" customWidth="1"/>
    <col min="14857" max="14857" width="10.140625" style="88" bestFit="1" customWidth="1"/>
    <col min="14858" max="14858" width="9.140625" style="88"/>
    <col min="14859" max="14859" width="16.5703125" style="88" customWidth="1"/>
    <col min="14860" max="14860" width="20.140625" style="88" customWidth="1"/>
    <col min="14861" max="15105" width="9.140625" style="88"/>
    <col min="15106" max="15106" width="24.42578125" style="88" bestFit="1" customWidth="1"/>
    <col min="15107" max="15107" width="16.5703125" style="88" customWidth="1"/>
    <col min="15108" max="15108" width="47.85546875" style="88" customWidth="1"/>
    <col min="15109" max="15110" width="9.140625" style="88"/>
    <col min="15111" max="15111" width="10.7109375" style="88" customWidth="1"/>
    <col min="15112" max="15112" width="12.85546875" style="88" customWidth="1"/>
    <col min="15113" max="15113" width="10.140625" style="88" bestFit="1" customWidth="1"/>
    <col min="15114" max="15114" width="9.140625" style="88"/>
    <col min="15115" max="15115" width="16.5703125" style="88" customWidth="1"/>
    <col min="15116" max="15116" width="20.140625" style="88" customWidth="1"/>
    <col min="15117" max="15361" width="9.140625" style="88"/>
    <col min="15362" max="15362" width="24.42578125" style="88" bestFit="1" customWidth="1"/>
    <col min="15363" max="15363" width="16.5703125" style="88" customWidth="1"/>
    <col min="15364" max="15364" width="47.85546875" style="88" customWidth="1"/>
    <col min="15365" max="15366" width="9.140625" style="88"/>
    <col min="15367" max="15367" width="10.7109375" style="88" customWidth="1"/>
    <col min="15368" max="15368" width="12.85546875" style="88" customWidth="1"/>
    <col min="15369" max="15369" width="10.140625" style="88" bestFit="1" customWidth="1"/>
    <col min="15370" max="15370" width="9.140625" style="88"/>
    <col min="15371" max="15371" width="16.5703125" style="88" customWidth="1"/>
    <col min="15372" max="15372" width="20.140625" style="88" customWidth="1"/>
    <col min="15373" max="15617" width="9.140625" style="88"/>
    <col min="15618" max="15618" width="24.42578125" style="88" bestFit="1" customWidth="1"/>
    <col min="15619" max="15619" width="16.5703125" style="88" customWidth="1"/>
    <col min="15620" max="15620" width="47.85546875" style="88" customWidth="1"/>
    <col min="15621" max="15622" width="9.140625" style="88"/>
    <col min="15623" max="15623" width="10.7109375" style="88" customWidth="1"/>
    <col min="15624" max="15624" width="12.85546875" style="88" customWidth="1"/>
    <col min="15625" max="15625" width="10.140625" style="88" bestFit="1" customWidth="1"/>
    <col min="15626" max="15626" width="9.140625" style="88"/>
    <col min="15627" max="15627" width="16.5703125" style="88" customWidth="1"/>
    <col min="15628" max="15628" width="20.140625" style="88" customWidth="1"/>
    <col min="15629" max="15873" width="9.140625" style="88"/>
    <col min="15874" max="15874" width="24.42578125" style="88" bestFit="1" customWidth="1"/>
    <col min="15875" max="15875" width="16.5703125" style="88" customWidth="1"/>
    <col min="15876" max="15876" width="47.85546875" style="88" customWidth="1"/>
    <col min="15877" max="15878" width="9.140625" style="88"/>
    <col min="15879" max="15879" width="10.7109375" style="88" customWidth="1"/>
    <col min="15880" max="15880" width="12.85546875" style="88" customWidth="1"/>
    <col min="15881" max="15881" width="10.140625" style="88" bestFit="1" customWidth="1"/>
    <col min="15882" max="15882" width="9.140625" style="88"/>
    <col min="15883" max="15883" width="16.5703125" style="88" customWidth="1"/>
    <col min="15884" max="15884" width="20.140625" style="88" customWidth="1"/>
    <col min="15885" max="16129" width="9.140625" style="88"/>
    <col min="16130" max="16130" width="24.42578125" style="88" bestFit="1" customWidth="1"/>
    <col min="16131" max="16131" width="16.5703125" style="88" customWidth="1"/>
    <col min="16132" max="16132" width="47.85546875" style="88" customWidth="1"/>
    <col min="16133" max="16134" width="9.140625" style="88"/>
    <col min="16135" max="16135" width="10.7109375" style="88" customWidth="1"/>
    <col min="16136" max="16136" width="12.85546875" style="88" customWidth="1"/>
    <col min="16137" max="16137" width="10.140625" style="88" bestFit="1" customWidth="1"/>
    <col min="16138" max="16138" width="9.140625" style="88"/>
    <col min="16139" max="16139" width="16.5703125" style="88" customWidth="1"/>
    <col min="16140" max="16140" width="20.140625" style="88" customWidth="1"/>
    <col min="16141" max="16384" width="9.140625" style="88"/>
  </cols>
  <sheetData>
    <row r="1" spans="1:10" s="79" customFormat="1" x14ac:dyDescent="0.25">
      <c r="A1" s="89" t="s">
        <v>40</v>
      </c>
      <c r="B1" s="90"/>
      <c r="C1" s="91"/>
      <c r="D1" s="192"/>
      <c r="E1" s="209" t="s">
        <v>41</v>
      </c>
      <c r="F1" s="209"/>
      <c r="G1" s="209" t="s">
        <v>42</v>
      </c>
      <c r="H1" s="210"/>
    </row>
    <row r="2" spans="1:10" s="80" customFormat="1" x14ac:dyDescent="0.25">
      <c r="A2" s="95" t="s">
        <v>43</v>
      </c>
      <c r="B2" s="96" t="s">
        <v>44</v>
      </c>
      <c r="C2" s="95" t="s">
        <v>45</v>
      </c>
      <c r="D2" s="95" t="s">
        <v>46</v>
      </c>
      <c r="E2" s="97" t="s">
        <v>47</v>
      </c>
      <c r="F2" s="97" t="s">
        <v>48</v>
      </c>
      <c r="G2" s="97" t="s">
        <v>47</v>
      </c>
      <c r="H2" s="97" t="s">
        <v>48</v>
      </c>
    </row>
    <row r="3" spans="1:10" s="79" customFormat="1" x14ac:dyDescent="0.25">
      <c r="A3" s="165" t="s">
        <v>49</v>
      </c>
      <c r="B3" s="170" t="s">
        <v>50</v>
      </c>
      <c r="C3" s="165">
        <v>20</v>
      </c>
      <c r="D3" s="193" t="s">
        <v>51</v>
      </c>
      <c r="E3" s="175"/>
      <c r="F3" s="175"/>
      <c r="G3" s="175"/>
      <c r="H3" s="175">
        <f>F3*C3</f>
        <v>0</v>
      </c>
      <c r="I3" s="82"/>
    </row>
    <row r="4" spans="1:10" s="87" customFormat="1" ht="12.75" x14ac:dyDescent="0.25">
      <c r="A4" s="83" t="s">
        <v>39</v>
      </c>
      <c r="B4" s="84"/>
      <c r="C4" s="83"/>
      <c r="D4" s="95"/>
      <c r="E4" s="85"/>
      <c r="F4" s="85"/>
      <c r="G4" s="85"/>
      <c r="H4" s="85">
        <f>SUM(H3)</f>
        <v>0</v>
      </c>
      <c r="I4" s="86"/>
    </row>
    <row r="5" spans="1:10" s="87" customFormat="1" ht="12.75" x14ac:dyDescent="0.25">
      <c r="A5" s="83"/>
      <c r="B5" s="84"/>
      <c r="C5" s="83"/>
      <c r="D5" s="95"/>
      <c r="E5" s="85"/>
      <c r="F5" s="85"/>
      <c r="G5" s="85"/>
      <c r="H5" s="85"/>
      <c r="I5" s="86"/>
    </row>
    <row r="6" spans="1:10" s="191" customFormat="1" x14ac:dyDescent="0.25">
      <c r="A6" s="184" t="s">
        <v>167</v>
      </c>
      <c r="B6" s="189"/>
      <c r="C6" s="184"/>
      <c r="D6" s="194"/>
      <c r="E6" s="186"/>
      <c r="F6" s="186"/>
      <c r="G6" s="186"/>
      <c r="H6" s="186"/>
      <c r="I6" s="190"/>
    </row>
    <row r="7" spans="1:10" s="191" customFormat="1" ht="60" x14ac:dyDescent="0.25">
      <c r="A7" s="165" t="s">
        <v>168</v>
      </c>
      <c r="B7" s="170" t="s">
        <v>169</v>
      </c>
      <c r="C7" s="165">
        <v>120</v>
      </c>
      <c r="D7" s="193" t="s">
        <v>51</v>
      </c>
      <c r="E7" s="175"/>
      <c r="F7" s="175"/>
      <c r="G7" s="175">
        <f>(C7*E7)</f>
        <v>0</v>
      </c>
      <c r="H7" s="175">
        <f>(C7*F7)</f>
        <v>0</v>
      </c>
      <c r="I7" s="190"/>
    </row>
    <row r="8" spans="1:10" s="188" customFormat="1" x14ac:dyDescent="0.25">
      <c r="A8" s="184" t="s">
        <v>39</v>
      </c>
      <c r="B8" s="170"/>
      <c r="C8" s="165"/>
      <c r="D8" s="193"/>
      <c r="E8" s="175"/>
      <c r="F8" s="175"/>
      <c r="G8" s="186">
        <f>SUM(G7)</f>
        <v>0</v>
      </c>
      <c r="H8" s="186">
        <f>SUM(H7)</f>
        <v>0</v>
      </c>
      <c r="I8" s="190"/>
    </row>
    <row r="9" spans="1:10" x14ac:dyDescent="0.25">
      <c r="A9" s="185"/>
      <c r="B9" s="174"/>
      <c r="C9" s="180"/>
      <c r="D9" s="195"/>
      <c r="E9" s="181"/>
      <c r="F9" s="181"/>
      <c r="G9" s="181"/>
      <c r="H9" s="178"/>
      <c r="I9" s="86"/>
      <c r="J9" s="88"/>
    </row>
    <row r="10" spans="1:10" s="79" customFormat="1" x14ac:dyDescent="0.25">
      <c r="A10" s="89" t="s">
        <v>52</v>
      </c>
      <c r="B10" s="90"/>
      <c r="C10" s="91"/>
      <c r="D10" s="192"/>
      <c r="E10" s="92"/>
      <c r="F10" s="92"/>
      <c r="G10" s="92"/>
      <c r="H10" s="93"/>
      <c r="I10" s="82"/>
    </row>
    <row r="11" spans="1:10" s="79" customFormat="1" x14ac:dyDescent="0.25">
      <c r="A11" s="165" t="s">
        <v>53</v>
      </c>
      <c r="B11" s="170" t="s">
        <v>54</v>
      </c>
      <c r="C11" s="165">
        <v>30</v>
      </c>
      <c r="D11" s="193" t="s">
        <v>55</v>
      </c>
      <c r="E11" s="175"/>
      <c r="F11" s="175"/>
      <c r="G11" s="175"/>
      <c r="H11" s="175">
        <f>F11*C11</f>
        <v>0</v>
      </c>
      <c r="I11" s="82"/>
    </row>
    <row r="12" spans="1:10" s="79" customFormat="1" x14ac:dyDescent="0.25">
      <c r="A12" s="165" t="s">
        <v>56</v>
      </c>
      <c r="B12" s="170" t="s">
        <v>57</v>
      </c>
      <c r="C12" s="165">
        <v>10</v>
      </c>
      <c r="D12" s="193" t="s">
        <v>58</v>
      </c>
      <c r="E12" s="175"/>
      <c r="F12" s="175"/>
      <c r="G12" s="175"/>
      <c r="H12" s="175">
        <f>F12*C12</f>
        <v>0</v>
      </c>
      <c r="I12" s="82"/>
    </row>
    <row r="13" spans="1:10" s="79" customFormat="1" ht="30" x14ac:dyDescent="0.25">
      <c r="A13" s="165"/>
      <c r="B13" s="170" t="s">
        <v>60</v>
      </c>
      <c r="C13" s="177">
        <v>4</v>
      </c>
      <c r="D13" s="193" t="s">
        <v>59</v>
      </c>
      <c r="E13" s="175"/>
      <c r="F13" s="175"/>
      <c r="G13" s="175">
        <f>(C13*E13)</f>
        <v>0</v>
      </c>
      <c r="H13" s="175">
        <f>F13*C13</f>
        <v>0</v>
      </c>
      <c r="I13" s="82"/>
    </row>
    <row r="14" spans="1:10" s="79" customFormat="1" x14ac:dyDescent="0.25">
      <c r="A14" s="165"/>
      <c r="B14" s="170" t="s">
        <v>61</v>
      </c>
      <c r="C14" s="177">
        <v>86.3</v>
      </c>
      <c r="D14" s="193" t="s">
        <v>62</v>
      </c>
      <c r="E14" s="175"/>
      <c r="F14" s="175"/>
      <c r="G14" s="175"/>
      <c r="H14" s="175">
        <f>SUM(C14*F14)</f>
        <v>0</v>
      </c>
      <c r="I14" s="82"/>
    </row>
    <row r="15" spans="1:10" s="79" customFormat="1" x14ac:dyDescent="0.25">
      <c r="A15" s="165"/>
      <c r="B15" s="170" t="s">
        <v>63</v>
      </c>
      <c r="C15" s="177">
        <f>SUM('I.ütem szakaszai'!AB21)</f>
        <v>13.829999999999998</v>
      </c>
      <c r="D15" s="193" t="s">
        <v>62</v>
      </c>
      <c r="E15" s="175"/>
      <c r="F15" s="175"/>
      <c r="G15" s="175">
        <f>SUM(C15*E15)</f>
        <v>0</v>
      </c>
      <c r="H15" s="175">
        <f>SUM(C15*F15)</f>
        <v>0</v>
      </c>
      <c r="I15" s="82"/>
    </row>
    <row r="16" spans="1:10" s="79" customFormat="1" x14ac:dyDescent="0.25">
      <c r="A16" s="165" t="s">
        <v>64</v>
      </c>
      <c r="B16" s="172" t="s">
        <v>65</v>
      </c>
      <c r="C16" s="177">
        <f>SUM('I.ütem szakaszai'!T25)</f>
        <v>1239.2357</v>
      </c>
      <c r="D16" s="193" t="s">
        <v>62</v>
      </c>
      <c r="E16" s="175"/>
      <c r="F16" s="175"/>
      <c r="G16" s="175"/>
      <c r="H16" s="175">
        <f>F16*C16</f>
        <v>0</v>
      </c>
      <c r="I16" s="82"/>
    </row>
    <row r="17" spans="1:10" s="79" customFormat="1" ht="45" x14ac:dyDescent="0.25">
      <c r="A17" s="165"/>
      <c r="B17" s="172" t="s">
        <v>166</v>
      </c>
      <c r="C17" s="177">
        <v>25</v>
      </c>
      <c r="D17" s="193" t="s">
        <v>97</v>
      </c>
      <c r="E17" s="175"/>
      <c r="F17" s="175"/>
      <c r="G17" s="178">
        <f>(C17*E17)</f>
        <v>0</v>
      </c>
      <c r="H17" s="175">
        <f>F17*C17</f>
        <v>0</v>
      </c>
      <c r="I17" s="82"/>
    </row>
    <row r="18" spans="1:10" s="79" customFormat="1" x14ac:dyDescent="0.25">
      <c r="A18" s="165"/>
      <c r="B18" s="172" t="s">
        <v>66</v>
      </c>
      <c r="C18" s="177">
        <v>1</v>
      </c>
      <c r="D18" s="193" t="s">
        <v>58</v>
      </c>
      <c r="E18" s="175"/>
      <c r="F18" s="175"/>
      <c r="G18" s="175"/>
      <c r="H18" s="175">
        <f>SUM(C18*F18)</f>
        <v>0</v>
      </c>
      <c r="I18" s="82"/>
    </row>
    <row r="19" spans="1:10" s="87" customFormat="1" ht="12.75" x14ac:dyDescent="0.25">
      <c r="A19" s="83" t="s">
        <v>39</v>
      </c>
      <c r="B19" s="84"/>
      <c r="C19" s="83"/>
      <c r="D19" s="95"/>
      <c r="E19" s="85"/>
      <c r="F19" s="85"/>
      <c r="G19" s="85">
        <f>SUM(G11:G18)</f>
        <v>0</v>
      </c>
      <c r="H19" s="85">
        <f>SUM(H11:H18)</f>
        <v>0</v>
      </c>
      <c r="I19" s="86"/>
    </row>
    <row r="20" spans="1:10" x14ac:dyDescent="0.25">
      <c r="I20" s="86"/>
      <c r="J20" s="88"/>
    </row>
    <row r="21" spans="1:10" x14ac:dyDescent="0.25">
      <c r="A21" s="89" t="s">
        <v>67</v>
      </c>
      <c r="B21" s="90"/>
      <c r="C21" s="91"/>
      <c r="D21" s="192"/>
      <c r="E21" s="92"/>
      <c r="F21" s="92"/>
      <c r="G21" s="92"/>
      <c r="H21" s="93"/>
      <c r="I21" s="86"/>
      <c r="J21" s="88"/>
    </row>
    <row r="22" spans="1:10" s="79" customFormat="1" ht="60" x14ac:dyDescent="0.25">
      <c r="A22" s="165" t="s">
        <v>68</v>
      </c>
      <c r="B22" s="170" t="s">
        <v>165</v>
      </c>
      <c r="C22" s="177">
        <f>SUM('I.ütem szakaszai'!T21)</f>
        <v>1397.54</v>
      </c>
      <c r="D22" s="193" t="s">
        <v>62</v>
      </c>
      <c r="E22" s="175"/>
      <c r="F22" s="175"/>
      <c r="G22" s="175"/>
      <c r="H22" s="175">
        <f t="shared" ref="H22:H28" si="0">F22*C22</f>
        <v>0</v>
      </c>
      <c r="I22" s="82"/>
    </row>
    <row r="23" spans="1:10" s="79" customFormat="1" ht="30" x14ac:dyDescent="0.25">
      <c r="A23" s="165" t="s">
        <v>69</v>
      </c>
      <c r="B23" s="170" t="s">
        <v>70</v>
      </c>
      <c r="C23" s="177">
        <f>SUM('I.ütem szakaszai'!Y21)</f>
        <v>2035.5999999999997</v>
      </c>
      <c r="D23" s="193" t="s">
        <v>51</v>
      </c>
      <c r="E23" s="175"/>
      <c r="F23" s="175"/>
      <c r="G23" s="175"/>
      <c r="H23" s="175">
        <f t="shared" si="0"/>
        <v>0</v>
      </c>
      <c r="I23" s="82"/>
    </row>
    <row r="24" spans="1:10" s="79" customFormat="1" ht="90" x14ac:dyDescent="0.25">
      <c r="A24" s="167" t="s">
        <v>71</v>
      </c>
      <c r="B24" s="170" t="s">
        <v>72</v>
      </c>
      <c r="C24" s="177">
        <f>SUM('I.ütem szakaszai'!V21)</f>
        <v>213.84000000000003</v>
      </c>
      <c r="D24" s="193" t="s">
        <v>62</v>
      </c>
      <c r="E24" s="175"/>
      <c r="F24" s="175"/>
      <c r="G24" s="175">
        <f>SUM(C24*E24)</f>
        <v>0</v>
      </c>
      <c r="H24" s="175">
        <f t="shared" si="0"/>
        <v>0</v>
      </c>
      <c r="I24" s="82"/>
    </row>
    <row r="25" spans="1:10" s="79" customFormat="1" ht="90" x14ac:dyDescent="0.25">
      <c r="A25" s="167" t="s">
        <v>71</v>
      </c>
      <c r="B25" s="173" t="s">
        <v>73</v>
      </c>
      <c r="C25" s="177">
        <f>SUM('I.ütem szakaszai'!W21)</f>
        <v>106.79999999999998</v>
      </c>
      <c r="D25" s="197" t="s">
        <v>62</v>
      </c>
      <c r="E25" s="179"/>
      <c r="F25" s="179"/>
      <c r="G25" s="175">
        <f t="shared" ref="G25:G28" si="1">SUM(C25*E25)</f>
        <v>0</v>
      </c>
      <c r="H25" s="179">
        <f t="shared" si="0"/>
        <v>0</v>
      </c>
      <c r="I25" s="82"/>
    </row>
    <row r="26" spans="1:10" s="79" customFormat="1" ht="75" x14ac:dyDescent="0.25">
      <c r="A26" s="168" t="s">
        <v>74</v>
      </c>
      <c r="B26" s="170" t="s">
        <v>75</v>
      </c>
      <c r="C26" s="177">
        <f>SUM('I.ütem szakaszai'!U21)</f>
        <v>158.30429999999998</v>
      </c>
      <c r="D26" s="193" t="s">
        <v>62</v>
      </c>
      <c r="E26" s="175"/>
      <c r="F26" s="175"/>
      <c r="G26" s="175">
        <f t="shared" si="1"/>
        <v>0</v>
      </c>
      <c r="H26" s="175">
        <f t="shared" si="0"/>
        <v>0</v>
      </c>
      <c r="I26" s="82"/>
    </row>
    <row r="27" spans="1:10" s="79" customFormat="1" ht="45" x14ac:dyDescent="0.25">
      <c r="A27" s="168" t="s">
        <v>76</v>
      </c>
      <c r="B27" s="170" t="s">
        <v>77</v>
      </c>
      <c r="C27" s="177">
        <f>SUM(C24+C26)</f>
        <v>372.14430000000004</v>
      </c>
      <c r="D27" s="193" t="s">
        <v>62</v>
      </c>
      <c r="E27" s="175"/>
      <c r="F27" s="175"/>
      <c r="G27" s="175">
        <f t="shared" si="1"/>
        <v>0</v>
      </c>
      <c r="H27" s="175">
        <f>F27*C27</f>
        <v>0</v>
      </c>
      <c r="I27" s="82"/>
    </row>
    <row r="28" spans="1:10" s="79" customFormat="1" ht="45" x14ac:dyDescent="0.25">
      <c r="A28" s="169" t="s">
        <v>78</v>
      </c>
      <c r="B28" s="173" t="s">
        <v>79</v>
      </c>
      <c r="C28" s="177">
        <f>SUM(C25)</f>
        <v>106.79999999999998</v>
      </c>
      <c r="D28" s="197" t="s">
        <v>62</v>
      </c>
      <c r="E28" s="179"/>
      <c r="F28" s="179"/>
      <c r="G28" s="175">
        <f t="shared" si="1"/>
        <v>0</v>
      </c>
      <c r="H28" s="179">
        <f t="shared" si="0"/>
        <v>0</v>
      </c>
      <c r="I28" s="82"/>
    </row>
    <row r="29" spans="1:10" s="87" customFormat="1" ht="12.75" x14ac:dyDescent="0.25">
      <c r="A29" s="89" t="s">
        <v>39</v>
      </c>
      <c r="B29" s="90"/>
      <c r="C29" s="91"/>
      <c r="D29" s="192"/>
      <c r="E29" s="92"/>
      <c r="F29" s="92"/>
      <c r="G29" s="92">
        <f>SUM(G22:G28)</f>
        <v>0</v>
      </c>
      <c r="H29" s="93">
        <f>SUM(H22:H28)</f>
        <v>0</v>
      </c>
      <c r="I29" s="86"/>
    </row>
    <row r="30" spans="1:10" x14ac:dyDescent="0.25">
      <c r="A30" s="94"/>
      <c r="I30" s="86"/>
      <c r="J30" s="88"/>
    </row>
    <row r="31" spans="1:10" x14ac:dyDescent="0.25">
      <c r="A31" s="89" t="s">
        <v>80</v>
      </c>
      <c r="B31" s="90"/>
      <c r="C31" s="91"/>
      <c r="D31" s="192"/>
      <c r="E31" s="92"/>
      <c r="F31" s="92"/>
      <c r="G31" s="92"/>
      <c r="H31" s="93"/>
      <c r="I31" s="86"/>
      <c r="J31" s="88"/>
    </row>
    <row r="32" spans="1:10" s="79" customFormat="1" ht="75" x14ac:dyDescent="0.25">
      <c r="A32" s="165" t="s">
        <v>81</v>
      </c>
      <c r="B32" s="170" t="s">
        <v>82</v>
      </c>
      <c r="C32" s="177">
        <f>SUM('I.ütem szakaszai'!AA21)</f>
        <v>71.200000000000017</v>
      </c>
      <c r="D32" s="193" t="s">
        <v>62</v>
      </c>
      <c r="E32" s="175"/>
      <c r="F32" s="175"/>
      <c r="G32" s="175">
        <f>(C32*E32)</f>
        <v>0</v>
      </c>
      <c r="H32" s="175">
        <f>F32*C32</f>
        <v>0</v>
      </c>
      <c r="I32" s="82"/>
    </row>
    <row r="33" spans="1:70" s="87" customFormat="1" ht="12.75" x14ac:dyDescent="0.25">
      <c r="A33" s="89" t="s">
        <v>39</v>
      </c>
      <c r="B33" s="90"/>
      <c r="C33" s="91"/>
      <c r="D33" s="192"/>
      <c r="E33" s="92"/>
      <c r="F33" s="92"/>
      <c r="G33" s="92">
        <f>SUM(G32)</f>
        <v>0</v>
      </c>
      <c r="H33" s="93">
        <f>SUM(H32)</f>
        <v>0</v>
      </c>
      <c r="I33" s="86"/>
    </row>
    <row r="34" spans="1:70" x14ac:dyDescent="0.25">
      <c r="A34" s="94"/>
      <c r="I34" s="86"/>
      <c r="J34" s="88"/>
    </row>
    <row r="35" spans="1:70" x14ac:dyDescent="0.25">
      <c r="A35" s="89" t="s">
        <v>83</v>
      </c>
      <c r="B35" s="90"/>
      <c r="C35" s="91"/>
      <c r="D35" s="192"/>
      <c r="E35" s="92"/>
      <c r="F35" s="92"/>
      <c r="G35" s="92"/>
      <c r="H35" s="93"/>
      <c r="I35" s="86"/>
      <c r="J35" s="88"/>
    </row>
    <row r="36" spans="1:70" s="98" customFormat="1" x14ac:dyDescent="0.25">
      <c r="A36" s="95" t="s">
        <v>43</v>
      </c>
      <c r="B36" s="96" t="s">
        <v>44</v>
      </c>
      <c r="C36" s="95" t="s">
        <v>45</v>
      </c>
      <c r="D36" s="95" t="s">
        <v>46</v>
      </c>
      <c r="E36" s="97"/>
      <c r="F36" s="97"/>
      <c r="G36" s="97"/>
      <c r="H36" s="97" t="s">
        <v>84</v>
      </c>
      <c r="I36" s="86"/>
    </row>
    <row r="37" spans="1:70" s="164" customFormat="1" ht="135" x14ac:dyDescent="0.25">
      <c r="A37" s="167" t="s">
        <v>85</v>
      </c>
      <c r="B37" s="173" t="s">
        <v>86</v>
      </c>
      <c r="C37" s="177">
        <v>127.9</v>
      </c>
      <c r="D37" s="197" t="s">
        <v>62</v>
      </c>
      <c r="E37" s="179"/>
      <c r="F37" s="179"/>
      <c r="G37" s="179">
        <f>SUM(C37)*E37</f>
        <v>0</v>
      </c>
      <c r="H37" s="179">
        <f>SUM(F37*C37)</f>
        <v>0</v>
      </c>
      <c r="I37" s="163"/>
    </row>
    <row r="38" spans="1:70" s="164" customFormat="1" ht="75" x14ac:dyDescent="0.25">
      <c r="A38" s="167" t="s">
        <v>87</v>
      </c>
      <c r="B38" s="173" t="s">
        <v>88</v>
      </c>
      <c r="C38" s="177">
        <f>SUM('I.ütem szakaszai'!J3:L3)*5*4*2.91/1000</f>
        <v>2.5608</v>
      </c>
      <c r="D38" s="197" t="s">
        <v>89</v>
      </c>
      <c r="E38" s="179"/>
      <c r="F38" s="179"/>
      <c r="G38" s="179">
        <f>SUM(C38*E38)</f>
        <v>0</v>
      </c>
      <c r="H38" s="179">
        <f>SUM(F38*C38)</f>
        <v>0</v>
      </c>
      <c r="I38" s="163"/>
    </row>
    <row r="39" spans="1:70" s="87" customFormat="1" ht="12.75" x14ac:dyDescent="0.25">
      <c r="A39" s="89" t="s">
        <v>39</v>
      </c>
      <c r="B39" s="90"/>
      <c r="C39" s="91"/>
      <c r="D39" s="192"/>
      <c r="E39" s="92"/>
      <c r="F39" s="92"/>
      <c r="G39" s="92">
        <f>SUM(G37:G38)</f>
        <v>0</v>
      </c>
      <c r="H39" s="93">
        <f>SUM(H37:H38)</f>
        <v>0</v>
      </c>
      <c r="I39" s="86"/>
      <c r="J39" s="86"/>
    </row>
    <row r="40" spans="1:70" x14ac:dyDescent="0.25">
      <c r="A40" s="94"/>
      <c r="I40" s="86"/>
      <c r="J40" s="88"/>
    </row>
    <row r="41" spans="1:70" x14ac:dyDescent="0.25">
      <c r="A41" s="89" t="s">
        <v>90</v>
      </c>
      <c r="B41" s="174"/>
      <c r="C41" s="180"/>
      <c r="D41" s="195"/>
      <c r="E41" s="181"/>
      <c r="F41" s="181"/>
      <c r="G41" s="181"/>
      <c r="H41" s="178"/>
      <c r="I41" s="86"/>
      <c r="J41" s="88"/>
    </row>
    <row r="42" spans="1:70" s="98" customFormat="1" x14ac:dyDescent="0.25">
      <c r="A42" s="99" t="s">
        <v>43</v>
      </c>
      <c r="B42" s="100" t="s">
        <v>44</v>
      </c>
      <c r="C42" s="99" t="s">
        <v>45</v>
      </c>
      <c r="D42" s="99" t="s">
        <v>46</v>
      </c>
      <c r="E42" s="101"/>
      <c r="F42" s="101"/>
      <c r="G42" s="101"/>
      <c r="H42" s="101" t="s">
        <v>84</v>
      </c>
      <c r="I42" s="86"/>
    </row>
    <row r="43" spans="1:70" s="79" customFormat="1" ht="75" x14ac:dyDescent="0.25">
      <c r="A43" s="165" t="s">
        <v>91</v>
      </c>
      <c r="B43" s="170" t="s">
        <v>92</v>
      </c>
      <c r="C43" s="177">
        <v>183</v>
      </c>
      <c r="D43" s="193" t="s">
        <v>62</v>
      </c>
      <c r="E43" s="175"/>
      <c r="F43" s="175"/>
      <c r="G43" s="175">
        <f>SUM(C43*E43)</f>
        <v>0</v>
      </c>
      <c r="H43" s="175">
        <f t="shared" ref="H43:H57" si="2">F43*C43</f>
        <v>0</v>
      </c>
      <c r="I43" s="82"/>
      <c r="J43" s="102"/>
    </row>
    <row r="44" spans="1:70" s="79" customFormat="1" ht="60" x14ac:dyDescent="0.25">
      <c r="A44" s="165" t="s">
        <v>93</v>
      </c>
      <c r="B44" s="170" t="s">
        <v>151</v>
      </c>
      <c r="C44" s="177">
        <v>819</v>
      </c>
      <c r="D44" s="193" t="s">
        <v>94</v>
      </c>
      <c r="E44" s="175"/>
      <c r="F44" s="175"/>
      <c r="G44" s="175">
        <f t="shared" ref="G44:G57" si="3">SUM(C44*E44)</f>
        <v>0</v>
      </c>
      <c r="H44" s="175">
        <f t="shared" si="2"/>
        <v>0</v>
      </c>
      <c r="I44" s="82"/>
    </row>
    <row r="45" spans="1:70" s="79" customFormat="1" ht="60" x14ac:dyDescent="0.25">
      <c r="A45" s="165" t="s">
        <v>93</v>
      </c>
      <c r="B45" s="170" t="s">
        <v>152</v>
      </c>
      <c r="C45" s="177">
        <v>64</v>
      </c>
      <c r="D45" s="193" t="s">
        <v>94</v>
      </c>
      <c r="E45" s="175"/>
      <c r="F45" s="175"/>
      <c r="G45" s="175">
        <f t="shared" si="3"/>
        <v>0</v>
      </c>
      <c r="H45" s="175">
        <f t="shared" si="2"/>
        <v>0</v>
      </c>
      <c r="I45" s="82"/>
    </row>
    <row r="46" spans="1:70" s="79" customFormat="1" ht="60" x14ac:dyDescent="0.25">
      <c r="A46" s="165" t="s">
        <v>93</v>
      </c>
      <c r="B46" s="170" t="s">
        <v>153</v>
      </c>
      <c r="C46" s="177">
        <f>SUM('I.ütem szakaszai'!E21)</f>
        <v>721</v>
      </c>
      <c r="D46" s="193" t="s">
        <v>94</v>
      </c>
      <c r="E46" s="175"/>
      <c r="F46" s="175"/>
      <c r="G46" s="175">
        <f t="shared" ref="G46:G53" si="4">SUM(C46*E46)</f>
        <v>0</v>
      </c>
      <c r="H46" s="175">
        <f t="shared" ref="H46:H53" si="5">F46*C46</f>
        <v>0</v>
      </c>
      <c r="I46" s="82"/>
    </row>
    <row r="47" spans="1:70" s="81" customFormat="1" ht="30" x14ac:dyDescent="0.25">
      <c r="A47" s="170" t="s">
        <v>95</v>
      </c>
      <c r="B47" s="170" t="s">
        <v>154</v>
      </c>
      <c r="C47" s="170">
        <v>9</v>
      </c>
      <c r="D47" s="198" t="s">
        <v>97</v>
      </c>
      <c r="E47" s="182"/>
      <c r="F47" s="182"/>
      <c r="G47" s="175">
        <f t="shared" si="4"/>
        <v>0</v>
      </c>
      <c r="H47" s="175">
        <f t="shared" si="5"/>
        <v>0</v>
      </c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2"/>
      <c r="BK47" s="162"/>
      <c r="BL47" s="162"/>
      <c r="BM47" s="162"/>
      <c r="BN47" s="162"/>
      <c r="BO47" s="162"/>
      <c r="BP47" s="162"/>
      <c r="BQ47" s="162"/>
      <c r="BR47" s="162"/>
    </row>
    <row r="48" spans="1:70" s="162" customFormat="1" ht="90" x14ac:dyDescent="0.25">
      <c r="A48" s="170" t="s">
        <v>156</v>
      </c>
      <c r="B48" s="170" t="s">
        <v>155</v>
      </c>
      <c r="C48" s="170">
        <v>145</v>
      </c>
      <c r="D48" s="198" t="s">
        <v>97</v>
      </c>
      <c r="E48" s="182"/>
      <c r="F48" s="182"/>
      <c r="G48" s="175">
        <f t="shared" si="4"/>
        <v>0</v>
      </c>
      <c r="H48" s="175">
        <f t="shared" si="5"/>
        <v>0</v>
      </c>
    </row>
    <row r="49" spans="1:12" s="162" customFormat="1" ht="90" x14ac:dyDescent="0.25">
      <c r="A49" s="170" t="s">
        <v>95</v>
      </c>
      <c r="B49" s="170" t="s">
        <v>157</v>
      </c>
      <c r="C49" s="170">
        <v>100</v>
      </c>
      <c r="D49" s="198" t="s">
        <v>97</v>
      </c>
      <c r="E49" s="182"/>
      <c r="F49" s="182"/>
      <c r="G49" s="175">
        <f t="shared" si="4"/>
        <v>0</v>
      </c>
      <c r="H49" s="175">
        <f t="shared" si="5"/>
        <v>0</v>
      </c>
    </row>
    <row r="50" spans="1:12" s="162" customFormat="1" ht="90" x14ac:dyDescent="0.25">
      <c r="A50" s="170" t="s">
        <v>95</v>
      </c>
      <c r="B50" s="170" t="s">
        <v>158</v>
      </c>
      <c r="C50" s="170">
        <v>5</v>
      </c>
      <c r="D50" s="198" t="s">
        <v>97</v>
      </c>
      <c r="E50" s="182"/>
      <c r="F50" s="182"/>
      <c r="G50" s="175">
        <f t="shared" si="4"/>
        <v>0</v>
      </c>
      <c r="H50" s="175">
        <f t="shared" si="5"/>
        <v>0</v>
      </c>
    </row>
    <row r="51" spans="1:12" s="162" customFormat="1" ht="45" x14ac:dyDescent="0.25">
      <c r="A51" s="170" t="s">
        <v>159</v>
      </c>
      <c r="B51" s="170" t="s">
        <v>164</v>
      </c>
      <c r="C51" s="170">
        <v>1</v>
      </c>
      <c r="D51" s="198" t="s">
        <v>97</v>
      </c>
      <c r="E51" s="182"/>
      <c r="F51" s="182"/>
      <c r="G51" s="175">
        <f t="shared" si="4"/>
        <v>0</v>
      </c>
      <c r="H51" s="175">
        <f t="shared" si="5"/>
        <v>0</v>
      </c>
    </row>
    <row r="52" spans="1:12" s="162" customFormat="1" ht="30" x14ac:dyDescent="0.25">
      <c r="A52" s="170" t="s">
        <v>161</v>
      </c>
      <c r="B52" s="170" t="s">
        <v>160</v>
      </c>
      <c r="C52" s="170">
        <v>1</v>
      </c>
      <c r="D52" s="198" t="s">
        <v>97</v>
      </c>
      <c r="E52" s="182"/>
      <c r="F52" s="182"/>
      <c r="G52" s="175">
        <f t="shared" si="4"/>
        <v>0</v>
      </c>
      <c r="H52" s="175">
        <f t="shared" si="5"/>
        <v>0</v>
      </c>
    </row>
    <row r="53" spans="1:12" s="162" customFormat="1" ht="30" x14ac:dyDescent="0.25">
      <c r="A53" s="170" t="s">
        <v>163</v>
      </c>
      <c r="B53" s="170" t="s">
        <v>162</v>
      </c>
      <c r="C53" s="170">
        <v>1</v>
      </c>
      <c r="D53" s="198" t="s">
        <v>97</v>
      </c>
      <c r="E53" s="182"/>
      <c r="F53" s="182"/>
      <c r="G53" s="175">
        <f t="shared" si="4"/>
        <v>0</v>
      </c>
      <c r="H53" s="175">
        <f t="shared" si="5"/>
        <v>0</v>
      </c>
    </row>
    <row r="54" spans="1:12" s="79" customFormat="1" ht="30" x14ac:dyDescent="0.25">
      <c r="A54" s="165" t="s">
        <v>95</v>
      </c>
      <c r="B54" s="170" t="s">
        <v>96</v>
      </c>
      <c r="C54" s="183">
        <v>18</v>
      </c>
      <c r="D54" s="193" t="s">
        <v>97</v>
      </c>
      <c r="E54" s="175"/>
      <c r="F54" s="175"/>
      <c r="G54" s="175">
        <f t="shared" si="3"/>
        <v>0</v>
      </c>
      <c r="H54" s="175">
        <f t="shared" si="2"/>
        <v>0</v>
      </c>
      <c r="I54" s="82"/>
    </row>
    <row r="55" spans="1:12" s="79" customFormat="1" ht="30" x14ac:dyDescent="0.25">
      <c r="A55" s="165" t="s">
        <v>95</v>
      </c>
      <c r="B55" s="170" t="s">
        <v>98</v>
      </c>
      <c r="C55" s="183">
        <v>17</v>
      </c>
      <c r="D55" s="193" t="s">
        <v>97</v>
      </c>
      <c r="E55" s="175"/>
      <c r="F55" s="175"/>
      <c r="G55" s="175">
        <f t="shared" si="3"/>
        <v>0</v>
      </c>
      <c r="H55" s="175">
        <f t="shared" si="2"/>
        <v>0</v>
      </c>
      <c r="I55" s="82"/>
    </row>
    <row r="56" spans="1:12" s="79" customFormat="1" ht="45" x14ac:dyDescent="0.25">
      <c r="A56" s="165" t="s">
        <v>99</v>
      </c>
      <c r="B56" s="170" t="s">
        <v>100</v>
      </c>
      <c r="C56" s="165">
        <f>SUM('I.ütem szakaszai'!J21)</f>
        <v>69</v>
      </c>
      <c r="D56" s="193" t="s">
        <v>94</v>
      </c>
      <c r="E56" s="175"/>
      <c r="F56" s="175"/>
      <c r="G56" s="175">
        <f t="shared" si="3"/>
        <v>0</v>
      </c>
      <c r="H56" s="175">
        <f t="shared" si="2"/>
        <v>0</v>
      </c>
      <c r="I56" s="82"/>
    </row>
    <row r="57" spans="1:12" s="79" customFormat="1" ht="45" x14ac:dyDescent="0.25">
      <c r="A57" s="165" t="s">
        <v>99</v>
      </c>
      <c r="B57" s="170" t="s">
        <v>101</v>
      </c>
      <c r="C57" s="165">
        <f>SUM('I.ütem szakaszai'!K21)</f>
        <v>109</v>
      </c>
      <c r="D57" s="193" t="s">
        <v>94</v>
      </c>
      <c r="E57" s="175"/>
      <c r="F57" s="175"/>
      <c r="G57" s="175">
        <f t="shared" si="3"/>
        <v>0</v>
      </c>
      <c r="H57" s="175">
        <f t="shared" si="2"/>
        <v>0</v>
      </c>
      <c r="I57" s="82"/>
    </row>
    <row r="58" spans="1:12" s="87" customFormat="1" ht="12.75" x14ac:dyDescent="0.25">
      <c r="A58" s="89" t="s">
        <v>39</v>
      </c>
      <c r="B58" s="90"/>
      <c r="C58" s="91"/>
      <c r="D58" s="192"/>
      <c r="E58" s="92"/>
      <c r="F58" s="92"/>
      <c r="G58" s="92">
        <f>SUM(G43:G57)</f>
        <v>0</v>
      </c>
      <c r="H58" s="93">
        <f>SUM(H43:H57)</f>
        <v>0</v>
      </c>
      <c r="I58" s="86"/>
    </row>
    <row r="59" spans="1:12" x14ac:dyDescent="0.25">
      <c r="I59" s="187"/>
    </row>
    <row r="60" spans="1:12" x14ac:dyDescent="0.25">
      <c r="I60" s="187"/>
    </row>
    <row r="61" spans="1:12" x14ac:dyDescent="0.25">
      <c r="G61" s="176">
        <f>SUM(G58+G39+G33+G29+G19+G8+G4)</f>
        <v>0</v>
      </c>
      <c r="H61" s="176">
        <f>SUM(H58+H39+H33+H29+H19+H4+H8)</f>
        <v>0</v>
      </c>
    </row>
    <row r="62" spans="1:12" x14ac:dyDescent="0.25">
      <c r="E62" s="211" t="s">
        <v>102</v>
      </c>
      <c r="F62" s="211"/>
      <c r="G62" s="212">
        <f>SUM(G61:H61)</f>
        <v>0</v>
      </c>
      <c r="H62" s="212"/>
      <c r="L62" s="104"/>
    </row>
    <row r="63" spans="1:12" x14ac:dyDescent="0.25">
      <c r="E63" s="211" t="s">
        <v>103</v>
      </c>
      <c r="F63" s="211"/>
      <c r="G63" s="213">
        <f>SUM(G62*1.27)</f>
        <v>0</v>
      </c>
      <c r="H63" s="213"/>
    </row>
    <row r="64" spans="1:12" x14ac:dyDescent="0.25">
      <c r="I64" s="187"/>
      <c r="K64" s="105"/>
    </row>
  </sheetData>
  <mergeCells count="6">
    <mergeCell ref="E1:F1"/>
    <mergeCell ref="G1:H1"/>
    <mergeCell ref="E62:F62"/>
    <mergeCell ref="G62:H62"/>
    <mergeCell ref="E63:F63"/>
    <mergeCell ref="G63:H63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I.ütem szakaszai</vt:lpstr>
      <vt:lpstr>I.ütem költségvetés</vt:lpstr>
      <vt:lpstr>'I.ütem költségvetés'!Nyomtatási_terület</vt:lpstr>
      <vt:lpstr>'I.ütem szakaszai'!Nyomtatási_terület</vt:lpstr>
    </vt:vector>
  </TitlesOfParts>
  <Company>WXPEE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</dc:creator>
  <cp:lastModifiedBy>Nagyné Nyitrai Katalin</cp:lastModifiedBy>
  <cp:lastPrinted>2016-03-29T10:47:36Z</cp:lastPrinted>
  <dcterms:created xsi:type="dcterms:W3CDTF">2016-01-05T10:04:11Z</dcterms:created>
  <dcterms:modified xsi:type="dcterms:W3CDTF">2018-01-27T08:58:45Z</dcterms:modified>
</cp:coreProperties>
</file>